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ntare.giliute\Desktop\Gyciui atverti\"/>
    </mc:Choice>
  </mc:AlternateContent>
  <xr:revisionPtr revIDLastSave="0" documentId="13_ncr:1_{5CF3EE1F-7344-4B96-89FB-1A492E0C91B6}" xr6:coauthVersionLast="47" xr6:coauthVersionMax="47" xr10:uidLastSave="{00000000-0000-0000-0000-000000000000}"/>
  <bookViews>
    <workbookView xWindow="-120" yWindow="-120" windowWidth="21840" windowHeight="13020" activeTab="6" xr2:uid="{00000000-000D-0000-FFFF-FFFF00000000}"/>
  </bookViews>
  <sheets>
    <sheet name="S" sheetId="4" r:id="rId1"/>
    <sheet name="S`" sheetId="5" r:id="rId2"/>
    <sheet name="D" sheetId="2" r:id="rId3"/>
    <sheet name="Q" sheetId="1" r:id="rId4"/>
    <sheet name="Rt" sheetId="3" r:id="rId5"/>
    <sheet name="B" sheetId="6" r:id="rId6"/>
    <sheet name="A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5" l="1"/>
  <c r="M88" i="7"/>
  <c r="L88" i="7"/>
  <c r="K88" i="7"/>
  <c r="J88" i="7"/>
  <c r="I88" i="7"/>
  <c r="H88" i="7"/>
  <c r="G88" i="7"/>
  <c r="F88" i="7"/>
  <c r="E88" i="7"/>
  <c r="D88" i="7"/>
  <c r="C88" i="7"/>
  <c r="B88" i="7"/>
  <c r="M86" i="7"/>
  <c r="L86" i="7"/>
  <c r="K86" i="7"/>
  <c r="J86" i="7"/>
  <c r="I86" i="7"/>
  <c r="H86" i="7"/>
  <c r="G86" i="7"/>
  <c r="F86" i="7"/>
  <c r="E86" i="7"/>
  <c r="D86" i="7"/>
  <c r="C86" i="7"/>
  <c r="B86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M88" i="6"/>
  <c r="L88" i="6"/>
  <c r="K88" i="6"/>
  <c r="J88" i="6"/>
  <c r="I88" i="6"/>
  <c r="H88" i="6"/>
  <c r="G88" i="6"/>
  <c r="F88" i="6"/>
  <c r="E88" i="6"/>
  <c r="D88" i="6"/>
  <c r="C88" i="6"/>
  <c r="B88" i="6"/>
  <c r="M86" i="6"/>
  <c r="L86" i="6"/>
  <c r="K86" i="6"/>
  <c r="J86" i="6"/>
  <c r="I86" i="6"/>
  <c r="H86" i="6"/>
  <c r="G86" i="6"/>
  <c r="F86" i="6"/>
  <c r="E86" i="6"/>
  <c r="D86" i="6"/>
  <c r="C86" i="6"/>
  <c r="B86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M88" i="3"/>
  <c r="L88" i="3"/>
  <c r="K88" i="3"/>
  <c r="J88" i="3"/>
  <c r="I88" i="3"/>
  <c r="H88" i="3"/>
  <c r="G88" i="3"/>
  <c r="F88" i="3"/>
  <c r="E88" i="3"/>
  <c r="D88" i="3"/>
  <c r="C88" i="3"/>
  <c r="B88" i="3"/>
  <c r="M86" i="3"/>
  <c r="L86" i="3"/>
  <c r="K86" i="3"/>
  <c r="J86" i="3"/>
  <c r="I86" i="3"/>
  <c r="H86" i="3"/>
  <c r="G86" i="3"/>
  <c r="F86" i="3"/>
  <c r="E86" i="3"/>
  <c r="D86" i="3"/>
  <c r="C86" i="3"/>
  <c r="B86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88" i="7" l="1"/>
  <c r="N86" i="7"/>
  <c r="N86" i="6"/>
  <c r="N88" i="6"/>
  <c r="N86" i="3"/>
  <c r="N88" i="3"/>
  <c r="M88" i="1"/>
  <c r="L88" i="1"/>
  <c r="K88" i="1"/>
  <c r="J88" i="1"/>
  <c r="I88" i="1"/>
  <c r="H88" i="1"/>
  <c r="G88" i="1"/>
  <c r="F88" i="1"/>
  <c r="E88" i="1"/>
  <c r="D88" i="1"/>
  <c r="C88" i="1"/>
  <c r="B88" i="1"/>
  <c r="M86" i="1"/>
  <c r="L86" i="1"/>
  <c r="K86" i="1"/>
  <c r="J86" i="1"/>
  <c r="I86" i="1"/>
  <c r="H86" i="1"/>
  <c r="G86" i="1"/>
  <c r="F86" i="1"/>
  <c r="E86" i="1"/>
  <c r="D86" i="1"/>
  <c r="C86" i="1"/>
  <c r="B86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88" i="1" l="1"/>
  <c r="N86" i="1"/>
  <c r="M88" i="2"/>
  <c r="L88" i="2"/>
  <c r="K88" i="2"/>
  <c r="J88" i="2"/>
  <c r="I88" i="2"/>
  <c r="H88" i="2"/>
  <c r="G88" i="2"/>
  <c r="F88" i="2"/>
  <c r="E88" i="2"/>
  <c r="D88" i="2"/>
  <c r="C88" i="2"/>
  <c r="B88" i="2"/>
  <c r="M86" i="2"/>
  <c r="L86" i="2"/>
  <c r="K86" i="2"/>
  <c r="J86" i="2"/>
  <c r="I86" i="2"/>
  <c r="H86" i="2"/>
  <c r="G86" i="2"/>
  <c r="F86" i="2"/>
  <c r="E86" i="2"/>
  <c r="D86" i="2"/>
  <c r="C86" i="2"/>
  <c r="B86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M88" i="5"/>
  <c r="L88" i="5"/>
  <c r="K88" i="5"/>
  <c r="J88" i="5"/>
  <c r="I88" i="5"/>
  <c r="H88" i="5"/>
  <c r="G88" i="5"/>
  <c r="F88" i="5"/>
  <c r="E88" i="5"/>
  <c r="D88" i="5"/>
  <c r="C88" i="5"/>
  <c r="B88" i="5"/>
  <c r="M86" i="5"/>
  <c r="L86" i="5"/>
  <c r="K86" i="5"/>
  <c r="J86" i="5"/>
  <c r="I86" i="5"/>
  <c r="H86" i="5"/>
  <c r="F86" i="5"/>
  <c r="E86" i="5"/>
  <c r="D86" i="5"/>
  <c r="C86" i="5"/>
  <c r="B86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M88" i="4"/>
  <c r="L88" i="4"/>
  <c r="K88" i="4"/>
  <c r="J88" i="4"/>
  <c r="I88" i="4"/>
  <c r="H88" i="4"/>
  <c r="G88" i="4"/>
  <c r="F88" i="4"/>
  <c r="E88" i="4"/>
  <c r="D88" i="4"/>
  <c r="C88" i="4"/>
  <c r="B88" i="4"/>
  <c r="M86" i="4"/>
  <c r="L86" i="4"/>
  <c r="K86" i="4"/>
  <c r="J86" i="4"/>
  <c r="I86" i="4"/>
  <c r="H86" i="4"/>
  <c r="G86" i="4"/>
  <c r="F86" i="4"/>
  <c r="E86" i="4"/>
  <c r="D86" i="4"/>
  <c r="C86" i="4"/>
  <c r="B86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AB88" i="7"/>
  <c r="AA88" i="7"/>
  <c r="Z88" i="7"/>
  <c r="Y88" i="7"/>
  <c r="X88" i="7"/>
  <c r="W88" i="7"/>
  <c r="V88" i="7"/>
  <c r="U88" i="7"/>
  <c r="T88" i="7"/>
  <c r="S88" i="7"/>
  <c r="R88" i="7"/>
  <c r="Q88" i="7"/>
  <c r="AB86" i="7"/>
  <c r="AA86" i="7"/>
  <c r="Z86" i="7"/>
  <c r="Y86" i="7"/>
  <c r="X86" i="7"/>
  <c r="W86" i="7"/>
  <c r="V86" i="7"/>
  <c r="U86" i="7"/>
  <c r="T86" i="7"/>
  <c r="S86" i="7"/>
  <c r="R86" i="7"/>
  <c r="Q86" i="7"/>
  <c r="AC80" i="7"/>
  <c r="AC79" i="7"/>
  <c r="AC78" i="7"/>
  <c r="AC77" i="7"/>
  <c r="AC76" i="7"/>
  <c r="AC75" i="7"/>
  <c r="AC74" i="7"/>
  <c r="AC73" i="7"/>
  <c r="AC72" i="7"/>
  <c r="AC71" i="7"/>
  <c r="AC70" i="7"/>
  <c r="AC69" i="7"/>
  <c r="AC68" i="7"/>
  <c r="AC67" i="7"/>
  <c r="AC66" i="7"/>
  <c r="AC65" i="7"/>
  <c r="AC64" i="7"/>
  <c r="AC63" i="7"/>
  <c r="AC62" i="7"/>
  <c r="AC61" i="7"/>
  <c r="AC60" i="7"/>
  <c r="AC59" i="7"/>
  <c r="AC58" i="7"/>
  <c r="AC57" i="7"/>
  <c r="AC56" i="7"/>
  <c r="AC55" i="7"/>
  <c r="AC54" i="7"/>
  <c r="AC53" i="7"/>
  <c r="AC52" i="7"/>
  <c r="AC51" i="7"/>
  <c r="AC50" i="7"/>
  <c r="AC49" i="7"/>
  <c r="AC48" i="7"/>
  <c r="AC47" i="7"/>
  <c r="AC46" i="7"/>
  <c r="AC45" i="7"/>
  <c r="AC44" i="7"/>
  <c r="AC43" i="7"/>
  <c r="AC42" i="7"/>
  <c r="AC41" i="7"/>
  <c r="AC40" i="7"/>
  <c r="AC39" i="7"/>
  <c r="AC38" i="7"/>
  <c r="AC37" i="7"/>
  <c r="AB88" i="6"/>
  <c r="AA88" i="6"/>
  <c r="Z88" i="6"/>
  <c r="Y88" i="6"/>
  <c r="X88" i="6"/>
  <c r="W88" i="6"/>
  <c r="V88" i="6"/>
  <c r="U88" i="6"/>
  <c r="T88" i="6"/>
  <c r="S88" i="6"/>
  <c r="R88" i="6"/>
  <c r="Q88" i="6"/>
  <c r="AB86" i="6"/>
  <c r="AA86" i="6"/>
  <c r="Z86" i="6"/>
  <c r="Y86" i="6"/>
  <c r="X86" i="6"/>
  <c r="W86" i="6"/>
  <c r="V86" i="6"/>
  <c r="U86" i="6"/>
  <c r="T86" i="6"/>
  <c r="S86" i="6"/>
  <c r="R86" i="6"/>
  <c r="Q86" i="6"/>
  <c r="AC80" i="6"/>
  <c r="AC79" i="6"/>
  <c r="AC78" i="6"/>
  <c r="AC77" i="6"/>
  <c r="AC76" i="6"/>
  <c r="AC75" i="6"/>
  <c r="AC74" i="6"/>
  <c r="AC73" i="6"/>
  <c r="AC72" i="6"/>
  <c r="AC71" i="6"/>
  <c r="AC70" i="6"/>
  <c r="AC69" i="6"/>
  <c r="AC68" i="6"/>
  <c r="AC67" i="6"/>
  <c r="AC66" i="6"/>
  <c r="AC65" i="6"/>
  <c r="AC64" i="6"/>
  <c r="AC63" i="6"/>
  <c r="AC62" i="6"/>
  <c r="AC61" i="6"/>
  <c r="AC60" i="6"/>
  <c r="AC59" i="6"/>
  <c r="AC58" i="6"/>
  <c r="AC57" i="6"/>
  <c r="AC56" i="6"/>
  <c r="AC55" i="6"/>
  <c r="AC54" i="6"/>
  <c r="AC53" i="6"/>
  <c r="AC52" i="6"/>
  <c r="AC51" i="6"/>
  <c r="AC50" i="6"/>
  <c r="AC49" i="6"/>
  <c r="AC48" i="6"/>
  <c r="AC47" i="6"/>
  <c r="AC46" i="6"/>
  <c r="AC45" i="6"/>
  <c r="AC44" i="6"/>
  <c r="AC43" i="6"/>
  <c r="AC42" i="6"/>
  <c r="AC41" i="6"/>
  <c r="AC40" i="6"/>
  <c r="AC39" i="6"/>
  <c r="AC38" i="6"/>
  <c r="AC37" i="6"/>
  <c r="AB88" i="3"/>
  <c r="AA88" i="3"/>
  <c r="Z88" i="3"/>
  <c r="Y88" i="3"/>
  <c r="X88" i="3"/>
  <c r="W88" i="3"/>
  <c r="V88" i="3"/>
  <c r="U88" i="3"/>
  <c r="T88" i="3"/>
  <c r="S88" i="3"/>
  <c r="R88" i="3"/>
  <c r="Q88" i="3"/>
  <c r="AB86" i="3"/>
  <c r="AA86" i="3"/>
  <c r="Z86" i="3"/>
  <c r="Y86" i="3"/>
  <c r="X86" i="3"/>
  <c r="W86" i="3"/>
  <c r="V86" i="3"/>
  <c r="U86" i="3"/>
  <c r="T86" i="3"/>
  <c r="S86" i="3"/>
  <c r="R86" i="3"/>
  <c r="Q86" i="3"/>
  <c r="AC80" i="3"/>
  <c r="AC79" i="3"/>
  <c r="AC78" i="3"/>
  <c r="AC77" i="3"/>
  <c r="AC76" i="3"/>
  <c r="AC75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Q86" i="1"/>
  <c r="AB88" i="1"/>
  <c r="AA88" i="1"/>
  <c r="Z88" i="1"/>
  <c r="Y88" i="1"/>
  <c r="X88" i="1"/>
  <c r="W88" i="1"/>
  <c r="V88" i="1"/>
  <c r="U88" i="1"/>
  <c r="T88" i="1"/>
  <c r="S88" i="1"/>
  <c r="R88" i="1"/>
  <c r="Q88" i="1"/>
  <c r="AB86" i="1"/>
  <c r="AA86" i="1"/>
  <c r="Z86" i="1"/>
  <c r="Y86" i="1"/>
  <c r="X86" i="1"/>
  <c r="W86" i="1"/>
  <c r="V86" i="1"/>
  <c r="U86" i="1"/>
  <c r="T86" i="1"/>
  <c r="S86" i="1"/>
  <c r="R86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B88" i="2"/>
  <c r="AA88" i="2"/>
  <c r="Z88" i="2"/>
  <c r="Y88" i="2"/>
  <c r="X88" i="2"/>
  <c r="W88" i="2"/>
  <c r="V88" i="2"/>
  <c r="U88" i="2"/>
  <c r="T88" i="2"/>
  <c r="S88" i="2"/>
  <c r="R88" i="2"/>
  <c r="Q88" i="2"/>
  <c r="AB86" i="2"/>
  <c r="AA86" i="2"/>
  <c r="Z86" i="2"/>
  <c r="Y86" i="2"/>
  <c r="X86" i="2"/>
  <c r="W86" i="2"/>
  <c r="V86" i="2"/>
  <c r="U86" i="2"/>
  <c r="T86" i="2"/>
  <c r="S86" i="2"/>
  <c r="R86" i="2"/>
  <c r="Q86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B88" i="5"/>
  <c r="AA88" i="5"/>
  <c r="Z88" i="5"/>
  <c r="Y88" i="5"/>
  <c r="X88" i="5"/>
  <c r="W88" i="5"/>
  <c r="V88" i="5"/>
  <c r="U88" i="5"/>
  <c r="T88" i="5"/>
  <c r="S88" i="5"/>
  <c r="R88" i="5"/>
  <c r="Q88" i="5"/>
  <c r="AB86" i="5"/>
  <c r="AA86" i="5"/>
  <c r="Z86" i="5"/>
  <c r="Y86" i="5"/>
  <c r="X86" i="5"/>
  <c r="W86" i="5"/>
  <c r="V86" i="5"/>
  <c r="U86" i="5"/>
  <c r="T86" i="5"/>
  <c r="S86" i="5"/>
  <c r="R86" i="5"/>
  <c r="Q86" i="5"/>
  <c r="AC80" i="5"/>
  <c r="AC79" i="5"/>
  <c r="AC78" i="5"/>
  <c r="AC77" i="5"/>
  <c r="AC76" i="5"/>
  <c r="AC75" i="5"/>
  <c r="AC74" i="5"/>
  <c r="AC73" i="5"/>
  <c r="AC72" i="5"/>
  <c r="AC71" i="5"/>
  <c r="AC70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88" i="3" l="1"/>
  <c r="AC88" i="2"/>
  <c r="N86" i="2"/>
  <c r="N88" i="2"/>
  <c r="AC86" i="5"/>
  <c r="N88" i="5"/>
  <c r="N86" i="5"/>
  <c r="N88" i="4"/>
  <c r="N86" i="4"/>
  <c r="AC86" i="7"/>
  <c r="AC88" i="7"/>
  <c r="AC86" i="6"/>
  <c r="AC88" i="6"/>
  <c r="AC86" i="3"/>
  <c r="AC86" i="1"/>
  <c r="AC88" i="1"/>
  <c r="AC86" i="2"/>
  <c r="AC88" i="5"/>
  <c r="AB88" i="4" l="1"/>
  <c r="AA88" i="4"/>
  <c r="Z88" i="4"/>
  <c r="Y88" i="4"/>
  <c r="X88" i="4"/>
  <c r="W88" i="4"/>
  <c r="V88" i="4"/>
  <c r="U88" i="4"/>
  <c r="T88" i="4"/>
  <c r="S88" i="4"/>
  <c r="R88" i="4"/>
  <c r="Q88" i="4"/>
  <c r="AB86" i="4"/>
  <c r="AA86" i="4"/>
  <c r="Z86" i="4"/>
  <c r="Y86" i="4"/>
  <c r="X86" i="4"/>
  <c r="W86" i="4"/>
  <c r="V86" i="4"/>
  <c r="U86" i="4"/>
  <c r="T86" i="4"/>
  <c r="S86" i="4"/>
  <c r="R86" i="4"/>
  <c r="Q86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AC44" i="4"/>
  <c r="AC43" i="4"/>
  <c r="AC42" i="4"/>
  <c r="AC41" i="4"/>
  <c r="AC40" i="4"/>
  <c r="AC39" i="4"/>
  <c r="AC38" i="4"/>
  <c r="AC37" i="4"/>
  <c r="AC88" i="4" l="1"/>
  <c r="AC86" i="4"/>
</calcChain>
</file>

<file path=xl/sharedStrings.xml><?xml version="1.0" encoding="utf-8"?>
<sst xmlns="http://schemas.openxmlformats.org/spreadsheetml/2006/main" count="1019" uniqueCount="58">
  <si>
    <t>Metai/Mėnuo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</si>
  <si>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</si>
  <si>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</si>
  <si>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</si>
  <si>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</si>
  <si>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</si>
  <si>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</si>
  <si>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</si>
  <si>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</si>
  <si>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</si>
  <si>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</si>
  <si>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</si>
  <si>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</si>
  <si>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*</t>
  </si>
  <si>
    <t>Mėnesio vidurkiai lentelėje pateikiami %.</t>
  </si>
  <si>
    <t>Mėnesio sumos lentelėje pateikiamos MJ/m2.</t>
  </si>
  <si>
    <t>S Šilutės AMS pradėta matuoti nuo 1954 m. spalio</t>
  </si>
  <si>
    <t>S` Šilutės AMS pradėta matuoti nuo 1954 m. spalio</t>
  </si>
  <si>
    <t>D Šilutės AMS pradėta matuoti nuo 1954 m. spalio.</t>
  </si>
  <si>
    <t>Q Šilutės AMS pradėta matuoti nuo 1954 m. spalio.</t>
  </si>
  <si>
    <t>Rt Šilutės AMS pradėta matuoti nuo 1954 m. spalio.</t>
  </si>
  <si>
    <t>B Šilutės AMS pradėta matuoti nuo 1954 m. spalio.</t>
  </si>
  <si>
    <t>At Šilutės AMS pradėta matuoti nuo 1954 m. spalio.</t>
  </si>
  <si>
    <t>MAX</t>
  </si>
  <si>
    <t>MIN</t>
  </si>
  <si>
    <t>SUMA</t>
  </si>
  <si>
    <t>METU</t>
  </si>
  <si>
    <t>VIDURKIS</t>
  </si>
  <si>
    <t>VIDURKIO</t>
  </si>
  <si>
    <t>REKORDAI RINKTI IŠ SUMŲ BE TRŪKIŲ</t>
  </si>
  <si>
    <t>REKORDAI RINKTI IŠ VIDURKIŲ BE TRŪKIŲ</t>
  </si>
  <si>
    <t xml:space="preserve">Mėnesio sumos lentelėje pateikiamos MJ/m2. </t>
  </si>
  <si>
    <t>S Kauno AMS pradėta matuoti nuo 1954 m. spalio</t>
  </si>
  <si>
    <t>Spalva pažymėti duomenų trūkiai, brokuoti duomenys ir nepilnos mėnesio sumos.</t>
  </si>
  <si>
    <t>Tiesioginė Saulės spinduliuotė į horizontalų paviršių arba insoliacija (S`) Kauno AMS.</t>
  </si>
  <si>
    <t>S` Kauno AMS pradėta matuoti nuo 1954 m. spalio</t>
  </si>
  <si>
    <t>Išsklaidytoji Saulės spinduliuotė (D) Kauno AMS.</t>
  </si>
  <si>
    <t>D Kauno AMS pradėta matuoti nuo 1954 m. spalio.</t>
  </si>
  <si>
    <t>Q Kauno AMS pradėta matuoti nuo 1954 m. spalio.</t>
  </si>
  <si>
    <t>Atspindėtoji Saulės spinduliuotė (Rt) Kauno AMS.</t>
  </si>
  <si>
    <t>Rt Kauno AMS pradėta matuoti nuo 1954 m. spalio.</t>
  </si>
  <si>
    <t>Spinduliuotės balansas (toliau, B) Kauno AMS.</t>
  </si>
  <si>
    <t>B Kauno AMS pradėta matuoti nuo 1954 m. spalio.</t>
  </si>
  <si>
    <t>Albedas (At) Kauno AMS.</t>
  </si>
  <si>
    <t xml:space="preserve">Mėnesio vidurkiai lentelėje pateikiami %. </t>
  </si>
  <si>
    <t>At Kauno AMS pradėta matuoti nuo 1954 m. spalio.</t>
  </si>
  <si>
    <t>Spalva pažymėti duomenų trūkiai, brokuoti duomenys ir nepilni mėnesio vidurkiai.</t>
  </si>
  <si>
    <t>Tiesioginė Saulės spinduliuotė į statmeną paviršių (S) Šilutės AMS.</t>
  </si>
  <si>
    <t>Tiesioginė Saulės spinduliuotė į horizontalų paviršių arba insoliacija (S`) Šilutės AMS.</t>
  </si>
  <si>
    <t>Išsklaidytoji Saulės spinduliuotė (D) Šilutės AMS.</t>
  </si>
  <si>
    <t>-</t>
  </si>
  <si>
    <t>Bendroji Saulės spinduliuotė (Q) Šilutės AMS.</t>
  </si>
  <si>
    <t>Bendroji Saulės spinduliuotė (Q) Kauno AMS.</t>
  </si>
  <si>
    <t>Atspindėtoji Saulės spinduliuotė (Rt) Šilutės AMS.</t>
  </si>
  <si>
    <t>Spinduliuotės balansas (B) Šilutės AMS.</t>
  </si>
  <si>
    <t>Albedas (At) Šilutės AMS.</t>
  </si>
  <si>
    <t>Tiesioginė Saulės spinduliuotė į statmeną paviršių (S) Kauno AMS.</t>
  </si>
  <si>
    <t>Metraštyje duomenys (nesuvesti).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</si>
</sst>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27];[Red]&quot;-&quot;#,##0.00&quot; &quot;[$€-427]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i/>
      <sz val="16"/>
      <color theme="1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theme="1"/>
      <name val="Liberation Sans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CCCC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rgb="FFB4C7DC"/>
      </patternFill>
    </fill>
    <fill>
      <patternFill patternType="solid">
        <fgColor theme="8" tint="0.39997558519241921"/>
        <bgColor rgb="FFD9E1F2"/>
      </patternFill>
    </fill>
    <fill>
      <patternFill patternType="solid">
        <fgColor theme="8" tint="0.39997558519241921"/>
        <bgColor rgb="FFB3CAC7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0" borderId="0"/>
    <xf numFmtId="0" fontId="6" fillId="0" borderId="0"/>
    <xf numFmtId="0" fontId="14" fillId="0" borderId="0">
      <alignment horizontal="center"/>
    </xf>
    <xf numFmtId="0" fontId="15" fillId="0" borderId="0">
      <alignment horizontal="center"/>
    </xf>
    <xf numFmtId="0" fontId="12" fillId="8" borderId="0"/>
    <xf numFmtId="0" fontId="9" fillId="6" borderId="0"/>
    <xf numFmtId="0" fontId="17" fillId="9" borderId="0"/>
    <xf numFmtId="0" fontId="18" fillId="9" borderId="4"/>
    <xf numFmtId="0" fontId="7" fillId="0" borderId="0"/>
    <xf numFmtId="0" fontId="8" fillId="3" borderId="0"/>
    <xf numFmtId="0" fontId="8" fillId="4" borderId="0"/>
    <xf numFmtId="0" fontId="7" fillId="5" borderId="0"/>
    <xf numFmtId="0" fontId="10" fillId="7" borderId="0"/>
    <xf numFmtId="0" fontId="11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6" fillId="0" borderId="0"/>
    <xf numFmtId="0" fontId="19" fillId="0" borderId="0"/>
    <xf numFmtId="164" fontId="19" fillId="0" borderId="0"/>
    <xf numFmtId="0" fontId="6" fillId="0" borderId="0"/>
    <xf numFmtId="0" fontId="6" fillId="0" borderId="0"/>
    <xf numFmtId="0" fontId="9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2" fillId="0" borderId="1" xfId="1" applyNumberFormat="1" applyBorder="1" applyAlignment="1">
      <alignment horizontal="center"/>
    </xf>
    <xf numFmtId="2" fontId="2" fillId="0" borderId="1" xfId="1" applyNumberForma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 applyAlignment="1">
      <alignment horizontal="center"/>
    </xf>
    <xf numFmtId="2" fontId="20" fillId="0" borderId="0" xfId="2" applyNumberFormat="1" applyFont="1" applyAlignment="1">
      <alignment horizontal="center"/>
    </xf>
    <xf numFmtId="2" fontId="20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3" xfId="2" applyNumberFormat="1" applyFont="1" applyBorder="1" applyAlignment="1">
      <alignment horizontal="center"/>
    </xf>
    <xf numFmtId="2" fontId="0" fillId="0" borderId="2" xfId="2" applyNumberFormat="1" applyFont="1" applyBorder="1" applyAlignment="1">
      <alignment horizontal="center"/>
    </xf>
    <xf numFmtId="2" fontId="0" fillId="10" borderId="2" xfId="2" applyNumberFormat="1" applyFont="1" applyFill="1" applyBorder="1" applyAlignment="1">
      <alignment horizontal="center"/>
    </xf>
    <xf numFmtId="4" fontId="22" fillId="0" borderId="1" xfId="1" applyNumberFormat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2" fontId="21" fillId="0" borderId="3" xfId="2" applyNumberFormat="1" applyFont="1" applyBorder="1" applyAlignment="1">
      <alignment horizontal="center"/>
    </xf>
    <xf numFmtId="2" fontId="21" fillId="0" borderId="2" xfId="2" applyNumberFormat="1" applyFont="1" applyBorder="1" applyAlignment="1">
      <alignment horizontal="center"/>
    </xf>
    <xf numFmtId="2" fontId="21" fillId="10" borderId="2" xfId="2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10" borderId="1" xfId="0" applyNumberFormat="1" applyFill="1" applyBorder="1" applyAlignment="1">
      <alignment horizontal="center" wrapText="1"/>
    </xf>
    <xf numFmtId="2" fontId="0" fillId="10" borderId="1" xfId="0" applyNumberFormat="1" applyFill="1" applyBorder="1" applyAlignment="1">
      <alignment horizontal="center"/>
    </xf>
    <xf numFmtId="2" fontId="21" fillId="0" borderId="0" xfId="2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0" fillId="11" borderId="1" xfId="0" applyFill="1" applyBorder="1" applyAlignment="1">
      <alignment horizontal="center"/>
    </xf>
    <xf numFmtId="0" fontId="22" fillId="11" borderId="1" xfId="1" applyFon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0" fontId="0" fillId="11" borderId="1" xfId="0" applyFill="1" applyBorder="1"/>
    <xf numFmtId="2" fontId="21" fillId="11" borderId="1" xfId="0" applyNumberFormat="1" applyFon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21" fillId="0" borderId="8" xfId="2" applyNumberFormat="1" applyFont="1" applyBorder="1" applyAlignment="1">
      <alignment horizontal="center"/>
    </xf>
    <xf numFmtId="2" fontId="21" fillId="0" borderId="9" xfId="2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2" fontId="0" fillId="0" borderId="8" xfId="2" applyNumberFormat="1" applyFont="1" applyBorder="1" applyAlignment="1">
      <alignment horizontal="center"/>
    </xf>
    <xf numFmtId="2" fontId="0" fillId="0" borderId="9" xfId="2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21" fillId="11" borderId="8" xfId="2" applyNumberFormat="1" applyFont="1" applyFill="1" applyBorder="1" applyAlignment="1">
      <alignment horizontal="center"/>
    </xf>
    <xf numFmtId="2" fontId="21" fillId="11" borderId="3" xfId="2" applyNumberFormat="1" applyFont="1" applyFill="1" applyBorder="1" applyAlignment="1">
      <alignment horizontal="center"/>
    </xf>
    <xf numFmtId="2" fontId="0" fillId="11" borderId="5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0" fillId="11" borderId="7" xfId="0" applyNumberFormat="1" applyFill="1" applyBorder="1" applyAlignment="1">
      <alignment horizontal="center"/>
    </xf>
    <xf numFmtId="2" fontId="0" fillId="11" borderId="1" xfId="0" applyNumberFormat="1" applyFill="1" applyBorder="1" applyAlignment="1">
      <alignment horizontal="center" wrapText="1"/>
    </xf>
    <xf numFmtId="2" fontId="0" fillId="11" borderId="8" xfId="2" applyNumberFormat="1" applyFont="1" applyFill="1" applyBorder="1" applyAlignment="1">
      <alignment horizontal="center"/>
    </xf>
    <xf numFmtId="2" fontId="0" fillId="11" borderId="3" xfId="2" applyNumberFormat="1" applyFont="1" applyFill="1" applyBorder="1" applyAlignment="1">
      <alignment horizontal="center"/>
    </xf>
    <xf numFmtId="4" fontId="0" fillId="11" borderId="5" xfId="0" applyNumberFormat="1" applyFill="1" applyBorder="1" applyAlignment="1">
      <alignment horizontal="center"/>
    </xf>
    <xf numFmtId="0" fontId="22" fillId="11" borderId="5" xfId="1" applyFont="1" applyFill="1" applyBorder="1" applyAlignment="1">
      <alignment horizontal="center"/>
    </xf>
    <xf numFmtId="4" fontId="2" fillId="0" borderId="1" xfId="1" applyNumberFormat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/>
    </xf>
    <xf numFmtId="2" fontId="24" fillId="0" borderId="2" xfId="2" applyNumberFormat="1" applyFont="1" applyBorder="1" applyAlignment="1">
      <alignment horizontal="center"/>
    </xf>
    <xf numFmtId="2" fontId="24" fillId="0" borderId="9" xfId="2" applyNumberFormat="1" applyFont="1" applyBorder="1" applyAlignment="1">
      <alignment horizontal="center"/>
    </xf>
    <xf numFmtId="2" fontId="24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" fontId="24" fillId="0" borderId="1" xfId="0" applyNumberFormat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2" fontId="22" fillId="0" borderId="1" xfId="1" applyNumberFormat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2" fontId="21" fillId="14" borderId="2" xfId="2" applyNumberFormat="1" applyFont="1" applyFill="1" applyBorder="1" applyAlignment="1">
      <alignment horizontal="center"/>
    </xf>
    <xf numFmtId="2" fontId="0" fillId="14" borderId="1" xfId="0" applyNumberFormat="1" applyFill="1" applyBorder="1" applyAlignment="1">
      <alignment horizontal="center"/>
    </xf>
    <xf numFmtId="0" fontId="21" fillId="14" borderId="5" xfId="0" applyFont="1" applyFill="1" applyBorder="1" applyAlignment="1">
      <alignment horizontal="center"/>
    </xf>
    <xf numFmtId="4" fontId="0" fillId="14" borderId="1" xfId="0" applyNumberForma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4" fillId="14" borderId="1" xfId="0" applyFont="1" applyFill="1" applyBorder="1" applyAlignment="1">
      <alignment horizontal="left"/>
    </xf>
    <xf numFmtId="4" fontId="0" fillId="15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2" fontId="0" fillId="16" borderId="1" xfId="0" applyNumberFormat="1" applyFill="1" applyBorder="1" applyAlignment="1">
      <alignment horizontal="center"/>
    </xf>
    <xf numFmtId="2" fontId="21" fillId="14" borderId="5" xfId="0" applyNumberFormat="1" applyFont="1" applyFill="1" applyBorder="1" applyAlignment="1">
      <alignment horizontal="center"/>
    </xf>
    <xf numFmtId="2" fontId="0" fillId="14" borderId="1" xfId="0" applyNumberFormat="1" applyFill="1" applyBorder="1" applyAlignment="1">
      <alignment horizontal="center" wrapText="1"/>
    </xf>
    <xf numFmtId="0" fontId="0" fillId="14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7" borderId="2" xfId="0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17" borderId="2" xfId="0" applyNumberFormat="1" applyFill="1" applyBorder="1" applyAlignment="1">
      <alignment horizontal="center"/>
    </xf>
    <xf numFmtId="2" fontId="0" fillId="18" borderId="2" xfId="0" applyNumberFormat="1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4" fontId="24" fillId="14" borderId="5" xfId="0" applyNumberFormat="1" applyFont="1" applyFill="1" applyBorder="1" applyAlignment="1">
      <alignment horizontal="center"/>
    </xf>
    <xf numFmtId="2" fontId="0" fillId="14" borderId="2" xfId="2" applyNumberFormat="1" applyFont="1" applyFill="1" applyBorder="1" applyAlignment="1">
      <alignment horizontal="center"/>
    </xf>
    <xf numFmtId="4" fontId="25" fillId="14" borderId="1" xfId="0" applyNumberFormat="1" applyFont="1" applyFill="1" applyBorder="1" applyAlignment="1">
      <alignment horizontal="center"/>
    </xf>
    <xf numFmtId="2" fontId="0" fillId="14" borderId="5" xfId="0" applyNumberForma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4" fontId="0" fillId="14" borderId="1" xfId="0" applyNumberFormat="1" applyFill="1" applyBorder="1" applyAlignment="1">
      <alignment horizontal="center" vertical="center"/>
    </xf>
    <xf numFmtId="2" fontId="24" fillId="14" borderId="9" xfId="2" applyNumberFormat="1" applyFont="1" applyFill="1" applyBorder="1" applyAlignment="1">
      <alignment horizontal="center"/>
    </xf>
    <xf numFmtId="0" fontId="22" fillId="14" borderId="1" xfId="1" applyFont="1" applyFill="1" applyBorder="1" applyAlignment="1">
      <alignment horizontal="center"/>
    </xf>
    <xf numFmtId="2" fontId="22" fillId="14" borderId="1" xfId="1" applyNumberFormat="1" applyFont="1" applyFill="1" applyBorder="1" applyAlignment="1">
      <alignment horizontal="center"/>
    </xf>
    <xf numFmtId="4" fontId="22" fillId="14" borderId="1" xfId="1" applyNumberFormat="1" applyFont="1" applyFill="1" applyBorder="1" applyAlignment="1">
      <alignment horizontal="center"/>
    </xf>
    <xf numFmtId="4" fontId="2" fillId="14" borderId="1" xfId="1" applyNumberFormat="1" applyFill="1" applyBorder="1" applyAlignment="1">
      <alignment horizontal="center" vertical="center"/>
    </xf>
    <xf numFmtId="0" fontId="2" fillId="14" borderId="1" xfId="1" applyFill="1" applyBorder="1" applyAlignment="1">
      <alignment horizontal="center"/>
    </xf>
    <xf numFmtId="4" fontId="2" fillId="14" borderId="1" xfId="1" applyNumberFormat="1" applyFill="1" applyBorder="1" applyAlignment="1">
      <alignment horizontal="center"/>
    </xf>
    <xf numFmtId="2" fontId="3" fillId="14" borderId="1" xfId="1" applyNumberFormat="1" applyFont="1" applyFill="1" applyBorder="1" applyAlignment="1">
      <alignment horizontal="center"/>
    </xf>
    <xf numFmtId="2" fontId="2" fillId="14" borderId="1" xfId="1" applyNumberFormat="1" applyFill="1" applyBorder="1" applyAlignment="1">
      <alignment horizontal="center"/>
    </xf>
    <xf numFmtId="0" fontId="24" fillId="14" borderId="1" xfId="0" applyFont="1" applyFill="1" applyBorder="1" applyAlignment="1">
      <alignment horizontal="center"/>
    </xf>
    <xf numFmtId="1" fontId="0" fillId="14" borderId="1" xfId="0" applyNumberFormat="1" applyFill="1" applyBorder="1" applyAlignment="1">
      <alignment horizontal="center"/>
    </xf>
    <xf numFmtId="1" fontId="24" fillId="14" borderId="1" xfId="0" applyNumberFormat="1" applyFon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1" fontId="0" fillId="15" borderId="1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1" fontId="0" fillId="16" borderId="1" xfId="0" applyNumberForma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21" fillId="14" borderId="1" xfId="0" applyNumberFormat="1" applyFont="1" applyFill="1" applyBorder="1" applyAlignment="1">
      <alignment horizontal="center"/>
    </xf>
    <xf numFmtId="2" fontId="21" fillId="14" borderId="9" xfId="2" applyNumberFormat="1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/>
    </xf>
    <xf numFmtId="2" fontId="3" fillId="14" borderId="1" xfId="0" applyNumberFormat="1" applyFont="1" applyFill="1" applyBorder="1" applyAlignment="1">
      <alignment horizontal="center"/>
    </xf>
    <xf numFmtId="0" fontId="4" fillId="14" borderId="11" xfId="0" applyFont="1" applyFill="1" applyBorder="1" applyAlignment="1">
      <alignment horizontal="left"/>
    </xf>
    <xf numFmtId="0" fontId="0" fillId="11" borderId="11" xfId="0" applyFill="1" applyBorder="1"/>
    <xf numFmtId="0" fontId="0" fillId="0" borderId="12" xfId="0" applyBorder="1"/>
    <xf numFmtId="0" fontId="0" fillId="0" borderId="13" xfId="0" applyBorder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0" fontId="28" fillId="0" borderId="0" xfId="0" applyFont="1"/>
    <xf numFmtId="4" fontId="21" fillId="15" borderId="1" xfId="0" applyNumberFormat="1" applyFont="1" applyFill="1" applyBorder="1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2" fontId="0" fillId="14" borderId="7" xfId="0" applyNumberFormat="1" applyFill="1" applyBorder="1" applyAlignment="1">
      <alignment horizontal="center"/>
    </xf>
    <xf numFmtId="2" fontId="0" fillId="10" borderId="2" xfId="0" applyNumberFormat="1" applyFill="1" applyBorder="1" applyAlignment="1">
      <alignment horizontal="center"/>
    </xf>
    <xf numFmtId="2" fontId="0" fillId="14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17" borderId="2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4" fontId="0" fillId="14" borderId="5" xfId="0" applyNumberFormat="1" applyFill="1" applyBorder="1" applyAlignment="1">
      <alignment horizontal="center"/>
    </xf>
    <xf numFmtId="165" fontId="0" fillId="14" borderId="1" xfId="0" applyNumberFormat="1" applyFill="1" applyBorder="1" applyAlignment="1">
      <alignment horizontal="center"/>
    </xf>
    <xf numFmtId="0" fontId="22" fillId="14" borderId="5" xfId="1" applyFont="1" applyFill="1" applyBorder="1" applyAlignment="1">
      <alignment horizontal="center"/>
    </xf>
    <xf numFmtId="165" fontId="22" fillId="14" borderId="1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10" xfId="0" applyFill="1" applyBorder="1" applyAlignment="1">
      <alignment horizontal="center"/>
    </xf>
    <xf numFmtId="0" fontId="0" fillId="20" borderId="11" xfId="0" applyFill="1" applyBorder="1" applyAlignment="1">
      <alignment horizontal="center"/>
    </xf>
  </cellXfs>
  <cellStyles count="23">
    <cellStyle name="Accent" xfId="9" xr:uid="{0A3A9F3B-88C5-4B80-95BA-8E10B68FB9E0}"/>
    <cellStyle name="Accent 1" xfId="10" xr:uid="{B29D00BC-1FF3-492F-BBC3-393812303E29}"/>
    <cellStyle name="Accent 2" xfId="11" xr:uid="{876EBA93-C10D-4DA2-9C86-DB4FD08216EC}"/>
    <cellStyle name="Accent 3" xfId="12" xr:uid="{49BB2914-50FE-4E34-B9AF-B7C6C46D194A}"/>
    <cellStyle name="Bad 2" xfId="6" xr:uid="{6FC3B822-186D-429B-9B49-E78522903C60}"/>
    <cellStyle name="Error" xfId="13" xr:uid="{6D6DD346-3019-4BE9-99D0-DA77AE652ECA}"/>
    <cellStyle name="Footnote" xfId="14" xr:uid="{40E790BB-3B4D-4EC2-8421-8EB253F04A0F}"/>
    <cellStyle name="Good 2" xfId="5" xr:uid="{E12E3F8F-D369-4823-9B11-C3ABDC0C48D8}"/>
    <cellStyle name="Heading" xfId="15" xr:uid="{E0FB97D8-5B3C-4654-80EA-912C3362AF09}"/>
    <cellStyle name="Heading 1 2" xfId="3" xr:uid="{5C21A325-D0AF-48D6-9CBD-7A9EE1112A0F}"/>
    <cellStyle name="Heading 2 2" xfId="4" xr:uid="{E4F243F6-236A-49F1-8CB7-4D6F5B4A682E}"/>
    <cellStyle name="Heading1" xfId="16" xr:uid="{E1E73240-7B7E-46AE-BE3F-149232E543C0}"/>
    <cellStyle name="Hyperlink" xfId="17" xr:uid="{B0EE6870-969A-4A2F-A4F9-820B139BA7A0}"/>
    <cellStyle name="Neutral 2" xfId="7" xr:uid="{2C14D227-5EF7-469A-B4B5-DCA0E90E01D2}"/>
    <cellStyle name="Normal" xfId="0" builtinId="0"/>
    <cellStyle name="Normal 2" xfId="1" xr:uid="{8182E33D-F6FA-46CB-8776-0D97BFB8BE83}"/>
    <cellStyle name="Normal 3" xfId="2" xr:uid="{324BB765-3197-439A-A555-3A21745A1920}"/>
    <cellStyle name="Note 2" xfId="8" xr:uid="{DA34467E-472C-4F58-926E-D8880DC0DDAF}"/>
    <cellStyle name="Result" xfId="18" xr:uid="{BC1B91F8-0DFF-44CC-AAD2-BA21CCFA26FD}"/>
    <cellStyle name="Result2" xfId="19" xr:uid="{2F010E39-B7F3-4C2F-906F-162DDC777A9E}"/>
    <cellStyle name="Status" xfId="20" xr:uid="{52392AA8-5B7B-4C51-8D5B-2F4C92F8B177}"/>
    <cellStyle name="Text" xfId="21" xr:uid="{19356667-9C70-4AB7-8C93-954EAF7D9160}"/>
    <cellStyle name="Warning" xfId="22" xr:uid="{20523684-2917-471E-AEB0-F565D3584BD2}"/>
  </cellStyles>
  <dxfs count="0"/>
  <tableStyles count="0" defaultTableStyle="TableStyleMedium2" defaultPivotStyle="PivotStyleLight16"/>
  <colors>
    <mruColors>
      <color rgb="FFFEE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2DDA-7447-446B-A6ED-00A17F21C194}">
  <dimension ref="A1:AF92"/>
  <sheetViews>
    <sheetView zoomScale="60" zoomScaleNormal="60" workbookViewId="0">
      <selection activeCell="Q5" sqref="Q5"/>
    </sheetView>
  </sheetViews>
  <sheetFormatPr defaultRowHeight="15" x14ac:dyDescent="0.25"/>
  <cols>
    <col min="1" max="1" width="19.28515625" style="1" customWidth="1"/>
    <col min="2" max="7" width="9.140625" style="1"/>
    <col min="8" max="8" width="10.140625" style="1" customWidth="1"/>
    <col min="9" max="9" width="10.5703125" style="1" customWidth="1"/>
    <col min="10" max="11" width="9.140625" style="1"/>
    <col min="12" max="12" width="12.42578125" style="1" customWidth="1"/>
    <col min="13" max="14" width="9.140625" style="1"/>
    <col min="16" max="16" width="19.28515625" style="1" customWidth="1"/>
    <col min="17" max="17" width="12.28515625" style="1" customWidth="1"/>
    <col min="18" max="18" width="9.140625" style="1"/>
    <col min="19" max="19" width="9.85546875" style="1" customWidth="1"/>
    <col min="20" max="22" width="9.140625" style="1"/>
    <col min="23" max="23" width="10.140625" style="1" customWidth="1"/>
    <col min="24" max="24" width="10.5703125" style="1" customWidth="1"/>
    <col min="25" max="26" width="9.140625" style="1"/>
    <col min="27" max="27" width="12.42578125" style="1" customWidth="1"/>
    <col min="28" max="29" width="9.140625" style="1"/>
  </cols>
  <sheetData>
    <row r="1" spans="1:29" ht="15.75" x14ac:dyDescent="0.25">
      <c r="A1" s="141" t="s">
        <v>47</v>
      </c>
      <c r="B1" s="142"/>
      <c r="C1" s="142"/>
      <c r="D1" s="142"/>
      <c r="E1" s="142"/>
      <c r="F1" s="142"/>
      <c r="G1" s="142"/>
      <c r="H1" s="142"/>
      <c r="I1" s="142"/>
      <c r="O1" s="139"/>
      <c r="P1" s="141" t="s">
        <v>56</v>
      </c>
      <c r="Q1" s="142"/>
      <c r="R1" s="142"/>
      <c r="S1" s="142"/>
      <c r="T1" s="142"/>
      <c r="U1" s="142"/>
      <c r="V1" s="142"/>
      <c r="W1" s="142"/>
      <c r="X1" s="142"/>
    </row>
    <row r="2" spans="1:29" x14ac:dyDescent="0.25">
      <c r="A2" s="6" t="s">
        <v>31</v>
      </c>
      <c r="O2" s="140"/>
      <c r="P2" s="6" t="s">
        <v>31</v>
      </c>
    </row>
    <row r="3" spans="1:29" x14ac:dyDescent="0.25">
      <c r="A3" s="6" t="s">
        <v>16</v>
      </c>
      <c r="O3" s="140"/>
      <c r="P3" s="6" t="s">
        <v>32</v>
      </c>
    </row>
    <row r="4" spans="1:29" x14ac:dyDescent="0.25">
      <c r="A4" s="96"/>
      <c r="B4" s="3" t="s">
        <v>33</v>
      </c>
      <c r="O4" s="140"/>
      <c r="P4" s="137"/>
      <c r="Q4" s="3" t="s">
        <v>33</v>
      </c>
    </row>
    <row r="5" spans="1:29" x14ac:dyDescent="0.25">
      <c r="A5" s="43"/>
      <c r="B5" t="s">
        <v>57</v>
      </c>
      <c r="O5" s="140"/>
      <c r="P5" s="138"/>
      <c r="Q5" t="s">
        <v>57</v>
      </c>
    </row>
    <row r="6" spans="1:29" x14ac:dyDescent="0.25">
      <c r="A6"/>
      <c r="B6"/>
      <c r="O6" s="140"/>
      <c r="P6"/>
      <c r="Q6"/>
    </row>
    <row r="7" spans="1:29" x14ac:dyDescent="0.25">
      <c r="O7" s="140"/>
      <c r="P7"/>
      <c r="Q7"/>
    </row>
    <row r="8" spans="1:29" x14ac:dyDescent="0.25">
      <c r="A8" s="54" t="s">
        <v>0</v>
      </c>
      <c r="B8" s="54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4" t="s">
        <v>7</v>
      </c>
      <c r="I8" s="54" t="s">
        <v>8</v>
      </c>
      <c r="J8" s="54" t="s">
        <v>9</v>
      </c>
      <c r="K8" s="54" t="s">
        <v>10</v>
      </c>
      <c r="L8" s="54" t="s">
        <v>11</v>
      </c>
      <c r="M8" s="54" t="s">
        <v>12</v>
      </c>
      <c r="N8" s="54" t="s">
        <v>25</v>
      </c>
      <c r="P8" s="54" t="s">
        <v>0</v>
      </c>
      <c r="Q8" s="54" t="s">
        <v>1</v>
      </c>
      <c r="R8" s="54" t="s">
        <v>2</v>
      </c>
      <c r="S8" s="54" t="s">
        <v>3</v>
      </c>
      <c r="T8" s="54" t="s">
        <v>4</v>
      </c>
      <c r="U8" s="54" t="s">
        <v>5</v>
      </c>
      <c r="V8" s="54" t="s">
        <v>6</v>
      </c>
      <c r="W8" s="54" t="s">
        <v>7</v>
      </c>
      <c r="X8" s="54" t="s">
        <v>8</v>
      </c>
      <c r="Y8" s="54" t="s">
        <v>9</v>
      </c>
      <c r="Z8" s="54" t="s">
        <v>10</v>
      </c>
      <c r="AA8" s="54" t="s">
        <v>11</v>
      </c>
      <c r="AB8" s="54" t="s">
        <v>12</v>
      </c>
      <c r="AC8" s="54" t="s">
        <v>25</v>
      </c>
    </row>
    <row r="9" spans="1:29" x14ac:dyDescent="0.25">
      <c r="A9" s="52">
        <v>1954</v>
      </c>
      <c r="B9" s="163" t="s">
        <v>50</v>
      </c>
      <c r="C9" s="164"/>
      <c r="D9" s="164"/>
      <c r="E9" s="164"/>
      <c r="F9" s="164"/>
      <c r="G9" s="164"/>
      <c r="H9" s="164"/>
      <c r="I9" s="164"/>
      <c r="J9" s="165"/>
      <c r="K9" s="38"/>
      <c r="L9" s="38"/>
      <c r="M9" s="45"/>
      <c r="N9" s="38"/>
      <c r="P9" s="52">
        <v>1954</v>
      </c>
      <c r="Q9" s="163" t="s">
        <v>50</v>
      </c>
      <c r="R9" s="164"/>
      <c r="S9" s="164"/>
      <c r="T9" s="164"/>
      <c r="U9" s="164"/>
      <c r="V9" s="164"/>
      <c r="W9" s="164"/>
      <c r="X9" s="164"/>
      <c r="Y9" s="165"/>
      <c r="Z9" s="38"/>
      <c r="AA9" s="38"/>
      <c r="AB9" s="45"/>
      <c r="AC9" s="38"/>
    </row>
    <row r="10" spans="1:29" x14ac:dyDescent="0.25">
      <c r="A10" s="52">
        <v>1955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45"/>
      <c r="N10" s="38"/>
      <c r="P10" s="52">
        <v>1955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45"/>
      <c r="AC10" s="38"/>
    </row>
    <row r="11" spans="1:29" x14ac:dyDescent="0.25">
      <c r="A11" s="52">
        <v>1956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5"/>
      <c r="N11" s="38"/>
      <c r="P11" s="52">
        <v>1956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45"/>
      <c r="AC11" s="38"/>
    </row>
    <row r="12" spans="1:29" x14ac:dyDescent="0.25">
      <c r="A12" s="143">
        <v>1957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5"/>
      <c r="N12" s="38"/>
      <c r="P12" s="143">
        <v>1957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45"/>
      <c r="AC12" s="38"/>
    </row>
    <row r="13" spans="1:29" x14ac:dyDescent="0.25">
      <c r="A13" s="52">
        <v>1958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5"/>
      <c r="N13" s="38"/>
      <c r="P13" s="52">
        <v>1958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5"/>
      <c r="AC13" s="38"/>
    </row>
    <row r="14" spans="1:29" x14ac:dyDescent="0.25">
      <c r="A14" s="52">
        <v>1959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5"/>
      <c r="N14" s="38"/>
      <c r="P14" s="52">
        <v>1959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5"/>
      <c r="AC14" s="38"/>
    </row>
    <row r="15" spans="1:29" x14ac:dyDescent="0.25">
      <c r="A15" s="143">
        <v>1960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5"/>
      <c r="N15" s="38"/>
      <c r="P15" s="143">
        <v>1960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5"/>
      <c r="AC15" s="38"/>
    </row>
    <row r="16" spans="1:29" x14ac:dyDescent="0.25">
      <c r="A16" s="52">
        <v>1961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5"/>
      <c r="N16" s="38"/>
      <c r="P16" s="52">
        <v>1961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5"/>
      <c r="AC16" s="38"/>
    </row>
    <row r="17" spans="1:29" x14ac:dyDescent="0.25">
      <c r="A17" s="52">
        <v>1962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5"/>
      <c r="N17" s="38"/>
      <c r="P17" s="52">
        <v>1962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5"/>
      <c r="AC17" s="38"/>
    </row>
    <row r="18" spans="1:29" ht="16.5" customHeight="1" x14ac:dyDescent="0.25">
      <c r="A18" s="143">
        <v>1963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5"/>
      <c r="N18" s="38"/>
      <c r="P18" s="143">
        <v>1963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45"/>
      <c r="AC18" s="38"/>
    </row>
    <row r="19" spans="1:29" x14ac:dyDescent="0.25">
      <c r="A19" s="52">
        <v>1964</v>
      </c>
      <c r="B19" s="4">
        <v>58.615000000000002</v>
      </c>
      <c r="C19" s="4">
        <v>175.85</v>
      </c>
      <c r="D19" s="4">
        <v>288.89</v>
      </c>
      <c r="E19" s="4">
        <v>284.7</v>
      </c>
      <c r="F19" s="4">
        <v>632.21</v>
      </c>
      <c r="G19" s="4">
        <v>498.23</v>
      </c>
      <c r="H19" s="4">
        <v>393.56</v>
      </c>
      <c r="I19" s="4">
        <v>267.95999999999998</v>
      </c>
      <c r="J19" s="4">
        <v>284.7</v>
      </c>
      <c r="K19" s="4">
        <v>129.79</v>
      </c>
      <c r="L19" s="4">
        <v>50.241999999999997</v>
      </c>
      <c r="M19" s="46">
        <v>33.494</v>
      </c>
      <c r="N19" s="4">
        <f>SUM(B19:M19)</f>
        <v>3098.2410000000004</v>
      </c>
      <c r="P19" s="52">
        <v>1964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63"/>
      <c r="AC19" s="40"/>
    </row>
    <row r="20" spans="1:29" x14ac:dyDescent="0.25">
      <c r="A20" s="52">
        <v>1965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6">
        <v>20.934000000000001</v>
      </c>
      <c r="N20" s="90">
        <f t="shared" ref="N20:N76" si="0">SUM(B20:M20)</f>
        <v>20.934000000000001</v>
      </c>
      <c r="P20" s="52">
        <v>1965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40"/>
    </row>
    <row r="21" spans="1:29" x14ac:dyDescent="0.25">
      <c r="A21" s="143">
        <v>1966</v>
      </c>
      <c r="B21" s="4">
        <v>20.934000000000001</v>
      </c>
      <c r="C21" s="4">
        <v>100.48</v>
      </c>
      <c r="D21" s="4">
        <v>87.923000000000002</v>
      </c>
      <c r="E21" s="4">
        <v>171.66</v>
      </c>
      <c r="F21" s="4">
        <v>339.13</v>
      </c>
      <c r="G21" s="4">
        <v>594.53</v>
      </c>
      <c r="H21" s="4">
        <v>435.43</v>
      </c>
      <c r="I21" s="4">
        <v>393.56</v>
      </c>
      <c r="J21" s="4">
        <v>142.35</v>
      </c>
      <c r="K21" s="4">
        <v>184.22</v>
      </c>
      <c r="L21" s="4">
        <v>20.934000000000001</v>
      </c>
      <c r="M21" s="46">
        <v>4.1867999999999999</v>
      </c>
      <c r="N21" s="4">
        <f t="shared" si="0"/>
        <v>2495.3377999999998</v>
      </c>
      <c r="P21" s="143">
        <v>1966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63"/>
      <c r="AC21" s="40"/>
    </row>
    <row r="22" spans="1:29" x14ac:dyDescent="0.25">
      <c r="A22" s="52">
        <v>1967</v>
      </c>
      <c r="B22" s="4">
        <v>46.055</v>
      </c>
      <c r="C22" s="4">
        <v>41.868000000000002</v>
      </c>
      <c r="D22" s="4">
        <v>163.29</v>
      </c>
      <c r="E22" s="4">
        <v>267.95999999999998</v>
      </c>
      <c r="F22" s="4">
        <v>397.75</v>
      </c>
      <c r="G22" s="4">
        <v>510.79</v>
      </c>
      <c r="H22" s="4">
        <v>598.71</v>
      </c>
      <c r="I22" s="4">
        <v>322.38</v>
      </c>
      <c r="J22" s="4">
        <v>226.09</v>
      </c>
      <c r="K22" s="4">
        <v>96.296000000000006</v>
      </c>
      <c r="L22" s="4">
        <v>62.802</v>
      </c>
      <c r="M22" s="46">
        <v>25.120999999999999</v>
      </c>
      <c r="N22" s="4">
        <f t="shared" si="0"/>
        <v>2759.1120000000001</v>
      </c>
      <c r="P22" s="52">
        <v>1967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63"/>
      <c r="AC22" s="40"/>
    </row>
    <row r="23" spans="1:29" x14ac:dyDescent="0.25">
      <c r="A23" s="52">
        <v>1968</v>
      </c>
      <c r="B23" s="4">
        <v>29.308</v>
      </c>
      <c r="C23" s="4">
        <v>133.97999999999999</v>
      </c>
      <c r="D23" s="4">
        <v>184.22</v>
      </c>
      <c r="E23" s="4">
        <v>456.36</v>
      </c>
      <c r="F23" s="4">
        <v>293.08</v>
      </c>
      <c r="G23" s="4">
        <v>623.83000000000004</v>
      </c>
      <c r="H23" s="4">
        <v>653.12</v>
      </c>
      <c r="I23" s="4">
        <v>489.86</v>
      </c>
      <c r="J23" s="4">
        <v>272.14</v>
      </c>
      <c r="K23" s="4">
        <v>58.615000000000002</v>
      </c>
      <c r="L23" s="4">
        <v>108.86</v>
      </c>
      <c r="M23" s="46">
        <v>16.747</v>
      </c>
      <c r="N23" s="4">
        <f t="shared" si="0"/>
        <v>3320.1199999999994</v>
      </c>
      <c r="P23" s="52">
        <v>1968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63"/>
      <c r="AC23" s="40"/>
    </row>
    <row r="24" spans="1:29" x14ac:dyDescent="0.25">
      <c r="A24" s="143">
        <v>1969</v>
      </c>
      <c r="B24" s="4">
        <v>66.989000000000004</v>
      </c>
      <c r="C24" s="4">
        <v>83.736000000000004</v>
      </c>
      <c r="D24" s="4">
        <v>414.49</v>
      </c>
      <c r="E24" s="4">
        <v>238.65</v>
      </c>
      <c r="F24" s="4">
        <v>381</v>
      </c>
      <c r="G24" s="4">
        <v>615.46</v>
      </c>
      <c r="H24" s="4">
        <v>519.16</v>
      </c>
      <c r="I24" s="4">
        <v>360.06</v>
      </c>
      <c r="J24" s="4">
        <v>293.08</v>
      </c>
      <c r="K24" s="4">
        <v>125.6</v>
      </c>
      <c r="L24" s="4">
        <v>25.120999999999999</v>
      </c>
      <c r="M24" s="46">
        <v>46.055</v>
      </c>
      <c r="N24" s="4">
        <f t="shared" si="0"/>
        <v>3169.4009999999998</v>
      </c>
      <c r="P24" s="143">
        <v>1969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63"/>
      <c r="AC24" s="40"/>
    </row>
    <row r="25" spans="1:29" x14ac:dyDescent="0.25">
      <c r="A25" s="52">
        <v>1970</v>
      </c>
      <c r="B25" s="4">
        <v>37.680999999999997</v>
      </c>
      <c r="C25" s="4">
        <v>71.176000000000002</v>
      </c>
      <c r="D25" s="4">
        <v>75.361999999999995</v>
      </c>
      <c r="E25" s="4">
        <v>167.47</v>
      </c>
      <c r="F25" s="4">
        <v>418.68</v>
      </c>
      <c r="G25" s="4">
        <v>628.02</v>
      </c>
      <c r="H25" s="4">
        <v>318.2</v>
      </c>
      <c r="I25" s="4">
        <v>364.25</v>
      </c>
      <c r="J25" s="4">
        <v>180.03</v>
      </c>
      <c r="K25" s="4">
        <v>92.11</v>
      </c>
      <c r="L25" s="4">
        <v>25.120999999999999</v>
      </c>
      <c r="M25" s="46">
        <v>20.934000000000001</v>
      </c>
      <c r="N25" s="4">
        <f t="shared" si="0"/>
        <v>2399.0340000000006</v>
      </c>
      <c r="P25" s="52">
        <v>1970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63"/>
      <c r="AC25" s="40"/>
    </row>
    <row r="26" spans="1:29" x14ac:dyDescent="0.25">
      <c r="A26" s="52">
        <v>1971</v>
      </c>
      <c r="B26" s="4">
        <v>54.427999999999997</v>
      </c>
      <c r="C26" s="4">
        <v>58.615000000000002</v>
      </c>
      <c r="D26" s="4">
        <v>100.48</v>
      </c>
      <c r="E26" s="4">
        <v>288.89</v>
      </c>
      <c r="F26" s="4">
        <v>636.39</v>
      </c>
      <c r="G26" s="4">
        <v>288.89</v>
      </c>
      <c r="H26" s="4">
        <v>477.3</v>
      </c>
      <c r="I26" s="4">
        <v>255.39</v>
      </c>
      <c r="J26" s="4">
        <v>46.055</v>
      </c>
      <c r="K26" s="4">
        <v>29.308</v>
      </c>
      <c r="L26" s="4">
        <v>0</v>
      </c>
      <c r="M26" s="46">
        <v>0</v>
      </c>
      <c r="N26" s="4">
        <f t="shared" si="0"/>
        <v>2235.7459999999996</v>
      </c>
      <c r="P26" s="52">
        <v>1971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63"/>
      <c r="AC26" s="40"/>
    </row>
    <row r="27" spans="1:29" x14ac:dyDescent="0.25">
      <c r="A27" s="143">
        <v>1972</v>
      </c>
      <c r="B27" s="4">
        <v>33.494</v>
      </c>
      <c r="C27" s="4">
        <v>46.055</v>
      </c>
      <c r="D27" s="4">
        <v>221.9</v>
      </c>
      <c r="E27" s="4">
        <v>259.58</v>
      </c>
      <c r="F27" s="4">
        <v>267.95999999999998</v>
      </c>
      <c r="G27" s="4">
        <v>422.87</v>
      </c>
      <c r="H27" s="4">
        <v>473.11</v>
      </c>
      <c r="I27" s="4">
        <v>234.46</v>
      </c>
      <c r="J27" s="4">
        <v>238.65</v>
      </c>
      <c r="K27" s="4">
        <v>154.91</v>
      </c>
      <c r="L27" s="4">
        <v>20.934000000000001</v>
      </c>
      <c r="M27" s="46">
        <v>54.427999999999997</v>
      </c>
      <c r="N27" s="4">
        <f t="shared" si="0"/>
        <v>2428.3510000000001</v>
      </c>
      <c r="P27" s="143">
        <v>1972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63"/>
      <c r="AC27" s="40"/>
    </row>
    <row r="28" spans="1:29" x14ac:dyDescent="0.25">
      <c r="A28" s="52">
        <v>1973</v>
      </c>
      <c r="B28" s="4">
        <v>41.868000000000002</v>
      </c>
      <c r="C28" s="4">
        <v>33.494</v>
      </c>
      <c r="D28" s="4">
        <v>192.59</v>
      </c>
      <c r="E28" s="4">
        <v>142.35</v>
      </c>
      <c r="F28" s="4">
        <v>443.8</v>
      </c>
      <c r="G28" s="4">
        <v>393.56</v>
      </c>
      <c r="H28" s="4">
        <v>427.05</v>
      </c>
      <c r="I28" s="4">
        <v>431.24</v>
      </c>
      <c r="J28" s="4">
        <v>230.27</v>
      </c>
      <c r="K28" s="4">
        <v>293.08</v>
      </c>
      <c r="L28" s="4">
        <v>58.615000000000002</v>
      </c>
      <c r="M28" s="46">
        <v>25.120999999999999</v>
      </c>
      <c r="N28" s="4">
        <f t="shared" si="0"/>
        <v>2713.038</v>
      </c>
      <c r="P28" s="52">
        <v>1973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63"/>
      <c r="AC28" s="40"/>
    </row>
    <row r="29" spans="1:29" x14ac:dyDescent="0.25">
      <c r="A29" s="52">
        <v>1974</v>
      </c>
      <c r="B29" s="4">
        <v>41.868000000000002</v>
      </c>
      <c r="C29" s="4">
        <v>113.04</v>
      </c>
      <c r="D29" s="4">
        <v>393.56</v>
      </c>
      <c r="E29" s="4">
        <v>381</v>
      </c>
      <c r="F29" s="4">
        <v>364.25</v>
      </c>
      <c r="G29" s="4">
        <v>368.44</v>
      </c>
      <c r="H29" s="4">
        <v>234.46</v>
      </c>
      <c r="I29" s="4">
        <v>401.93</v>
      </c>
      <c r="J29" s="4">
        <v>334.94</v>
      </c>
      <c r="K29" s="4">
        <v>16.747</v>
      </c>
      <c r="L29" s="4">
        <v>0</v>
      </c>
      <c r="M29" s="46">
        <v>16.747</v>
      </c>
      <c r="N29" s="4">
        <f t="shared" si="0"/>
        <v>2666.982</v>
      </c>
      <c r="P29" s="52">
        <v>1974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63"/>
      <c r="AC29" s="40"/>
    </row>
    <row r="30" spans="1:29" x14ac:dyDescent="0.25">
      <c r="A30" s="143">
        <v>1975</v>
      </c>
      <c r="B30" s="4">
        <v>20.934000000000001</v>
      </c>
      <c r="C30" s="4">
        <v>133.97999999999999</v>
      </c>
      <c r="D30" s="4">
        <v>180.03</v>
      </c>
      <c r="E30" s="4">
        <v>196.78</v>
      </c>
      <c r="F30" s="4">
        <v>385.19</v>
      </c>
      <c r="G30" s="4">
        <v>468.92</v>
      </c>
      <c r="H30" s="35">
        <v>544.28</v>
      </c>
      <c r="I30" s="4">
        <v>464.73</v>
      </c>
      <c r="J30" s="4">
        <v>339.13</v>
      </c>
      <c r="K30" s="4">
        <v>100.48</v>
      </c>
      <c r="L30" s="4">
        <v>33.494</v>
      </c>
      <c r="M30" s="46">
        <v>25.120999999999999</v>
      </c>
      <c r="N30" s="4">
        <f t="shared" si="0"/>
        <v>2893.0690000000004</v>
      </c>
      <c r="P30" s="143">
        <v>1975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63"/>
      <c r="AC30" s="40"/>
    </row>
    <row r="31" spans="1:29" x14ac:dyDescent="0.25">
      <c r="A31" s="52">
        <v>1976</v>
      </c>
      <c r="B31" s="4">
        <v>58.197000000000003</v>
      </c>
      <c r="C31" s="4">
        <v>187.99</v>
      </c>
      <c r="D31" s="4">
        <v>102.16</v>
      </c>
      <c r="E31" s="4">
        <v>344.57</v>
      </c>
      <c r="F31" s="4">
        <v>461.8</v>
      </c>
      <c r="G31" s="4">
        <v>512.46</v>
      </c>
      <c r="H31" s="4">
        <v>432.5</v>
      </c>
      <c r="I31" s="4">
        <v>367.6</v>
      </c>
      <c r="J31" s="4">
        <v>319.87</v>
      </c>
      <c r="K31" s="4">
        <v>159.1</v>
      </c>
      <c r="L31" s="4">
        <v>18.422000000000001</v>
      </c>
      <c r="M31" s="46">
        <v>16.329000000000001</v>
      </c>
      <c r="N31" s="4">
        <f t="shared" si="0"/>
        <v>2980.9979999999996</v>
      </c>
      <c r="P31" s="52">
        <v>1976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63"/>
      <c r="AC31" s="40"/>
    </row>
    <row r="32" spans="1:29" x14ac:dyDescent="0.25">
      <c r="A32" s="52">
        <v>1977</v>
      </c>
      <c r="B32" s="4">
        <v>20.097000000000001</v>
      </c>
      <c r="C32" s="4">
        <v>56.103000000000002</v>
      </c>
      <c r="D32" s="4">
        <v>169.57</v>
      </c>
      <c r="E32" s="4">
        <v>169.15</v>
      </c>
      <c r="F32" s="4">
        <v>381</v>
      </c>
      <c r="G32" s="4">
        <v>420.77</v>
      </c>
      <c r="H32" s="4">
        <v>279.26</v>
      </c>
      <c r="I32" s="4">
        <v>351.27</v>
      </c>
      <c r="J32" s="4">
        <v>136.91</v>
      </c>
      <c r="K32" s="4">
        <v>65.733000000000004</v>
      </c>
      <c r="L32" s="4">
        <v>8.7922999999999991</v>
      </c>
      <c r="M32" s="46">
        <v>43.960999999999999</v>
      </c>
      <c r="N32" s="4">
        <f t="shared" si="0"/>
        <v>2102.6163000000001</v>
      </c>
      <c r="P32" s="52">
        <v>1977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63"/>
      <c r="AC32" s="40"/>
    </row>
    <row r="33" spans="1:32" x14ac:dyDescent="0.25">
      <c r="A33" s="143">
        <v>1978</v>
      </c>
      <c r="B33" s="4">
        <v>43.124000000000002</v>
      </c>
      <c r="C33" s="4">
        <v>107.6</v>
      </c>
      <c r="D33" s="4">
        <v>139.84</v>
      </c>
      <c r="E33" s="4">
        <v>297.26</v>
      </c>
      <c r="F33" s="4">
        <v>540.92999999999995</v>
      </c>
      <c r="G33" s="4">
        <v>457.2</v>
      </c>
      <c r="H33" s="4">
        <v>245.35</v>
      </c>
      <c r="I33" s="4">
        <v>210.18</v>
      </c>
      <c r="J33" s="4">
        <v>62.802</v>
      </c>
      <c r="K33" s="4">
        <v>43.960999999999999</v>
      </c>
      <c r="L33" s="4">
        <v>0</v>
      </c>
      <c r="M33" s="46">
        <v>60.709000000000003</v>
      </c>
      <c r="N33" s="4">
        <f t="shared" si="0"/>
        <v>2208.9559999999997</v>
      </c>
      <c r="P33" s="143">
        <v>1978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63"/>
      <c r="AC33" s="40"/>
    </row>
    <row r="34" spans="1:32" x14ac:dyDescent="0.25">
      <c r="A34" s="52">
        <v>1979</v>
      </c>
      <c r="B34" s="4">
        <v>17.16</v>
      </c>
      <c r="C34" s="4">
        <v>145.70099999999999</v>
      </c>
      <c r="D34" s="4">
        <v>109.27500000000001</v>
      </c>
      <c r="E34" s="4">
        <v>367.601</v>
      </c>
      <c r="F34" s="4">
        <v>509.53399999999999</v>
      </c>
      <c r="G34" s="4">
        <v>585.30999999999995</v>
      </c>
      <c r="H34" s="4">
        <v>184.64</v>
      </c>
      <c r="I34" s="4">
        <v>248.7</v>
      </c>
      <c r="J34" s="4">
        <v>213.53</v>
      </c>
      <c r="K34" s="4">
        <v>265.02</v>
      </c>
      <c r="L34" s="4">
        <v>18.841000000000001</v>
      </c>
      <c r="M34" s="46">
        <v>30.564</v>
      </c>
      <c r="N34" s="4">
        <f t="shared" si="0"/>
        <v>2695.8759999999997</v>
      </c>
      <c r="P34" s="52">
        <v>1979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63"/>
      <c r="AC34" s="40"/>
    </row>
    <row r="35" spans="1:32" x14ac:dyDescent="0.25">
      <c r="A35" s="52">
        <v>1980</v>
      </c>
      <c r="B35" s="2">
        <v>26.18</v>
      </c>
      <c r="C35" s="2">
        <v>39.369999999999997</v>
      </c>
      <c r="D35" s="2">
        <v>325.64999999999998</v>
      </c>
      <c r="E35" s="2">
        <v>229.51</v>
      </c>
      <c r="F35" s="2">
        <v>383.38</v>
      </c>
      <c r="G35" s="2">
        <v>413.54</v>
      </c>
      <c r="H35" s="2">
        <v>194.08</v>
      </c>
      <c r="I35" s="2">
        <v>190.27</v>
      </c>
      <c r="J35" s="2">
        <v>155.07</v>
      </c>
      <c r="K35" s="2">
        <v>99.05</v>
      </c>
      <c r="L35" s="2">
        <v>71.849999999999994</v>
      </c>
      <c r="M35" s="16">
        <v>25.25</v>
      </c>
      <c r="N35" s="4">
        <f t="shared" si="0"/>
        <v>2153.1999999999998</v>
      </c>
      <c r="P35" s="52">
        <v>1980</v>
      </c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45"/>
      <c r="AC35" s="40"/>
    </row>
    <row r="36" spans="1:32" x14ac:dyDescent="0.25">
      <c r="A36" s="143">
        <v>1981</v>
      </c>
      <c r="B36" s="29">
        <v>34.619999999999997</v>
      </c>
      <c r="C36" s="29">
        <v>108.19</v>
      </c>
      <c r="D36" s="29">
        <v>181.3</v>
      </c>
      <c r="E36" s="29">
        <v>379.17</v>
      </c>
      <c r="F36" s="29">
        <v>500.97</v>
      </c>
      <c r="G36" s="29">
        <v>224.16</v>
      </c>
      <c r="H36" s="29">
        <v>300.93</v>
      </c>
      <c r="I36" s="29">
        <v>287.45</v>
      </c>
      <c r="J36" s="29">
        <v>198.77</v>
      </c>
      <c r="K36" s="29">
        <v>55.21</v>
      </c>
      <c r="L36" s="29">
        <v>18.440000000000001</v>
      </c>
      <c r="M36" s="47">
        <v>21.77</v>
      </c>
      <c r="N36" s="4">
        <f t="shared" si="0"/>
        <v>2310.9800000000005</v>
      </c>
      <c r="P36" s="143">
        <v>1981</v>
      </c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1"/>
      <c r="AC36" s="40"/>
    </row>
    <row r="37" spans="1:32" x14ac:dyDescent="0.25">
      <c r="A37" s="52">
        <v>1982</v>
      </c>
      <c r="B37" s="30">
        <v>50.56</v>
      </c>
      <c r="C37" s="30">
        <v>54.81</v>
      </c>
      <c r="D37" s="30">
        <v>265.41000000000003</v>
      </c>
      <c r="E37" s="30">
        <v>234.68</v>
      </c>
      <c r="F37" s="30">
        <v>477.76</v>
      </c>
      <c r="G37" s="30">
        <v>482.81</v>
      </c>
      <c r="H37" s="30">
        <v>651.69000000000005</v>
      </c>
      <c r="I37" s="30">
        <v>443.41</v>
      </c>
      <c r="J37" s="30">
        <v>209.02</v>
      </c>
      <c r="K37" s="30">
        <v>135.19999999999999</v>
      </c>
      <c r="L37" s="30">
        <v>41.96</v>
      </c>
      <c r="M37" s="48">
        <v>13.85</v>
      </c>
      <c r="N37" s="4">
        <f t="shared" si="0"/>
        <v>3061.16</v>
      </c>
      <c r="P37" s="52">
        <v>1982</v>
      </c>
      <c r="Q37" s="74">
        <v>67.87</v>
      </c>
      <c r="R37" s="74">
        <v>69.319999999999993</v>
      </c>
      <c r="S37" s="74">
        <v>277.7</v>
      </c>
      <c r="T37" s="74">
        <v>291.29000000000002</v>
      </c>
      <c r="U37" s="74">
        <v>519.95000000000005</v>
      </c>
      <c r="V37" s="74">
        <v>422.82</v>
      </c>
      <c r="W37" s="74">
        <v>519.28</v>
      </c>
      <c r="X37" s="74">
        <v>541.54</v>
      </c>
      <c r="Y37" s="74">
        <v>306.73</v>
      </c>
      <c r="Z37" s="74">
        <v>165.46</v>
      </c>
      <c r="AA37" s="74">
        <v>72.78</v>
      </c>
      <c r="AB37" s="75">
        <v>12.4</v>
      </c>
      <c r="AC37" s="4">
        <f t="shared" ref="AC37:AC43" si="1">SUM(Q37:AB37)</f>
        <v>3267.1400000000003</v>
      </c>
    </row>
    <row r="38" spans="1:32" x14ac:dyDescent="0.25">
      <c r="A38" s="52">
        <v>1983</v>
      </c>
      <c r="B38" s="30">
        <v>11.26</v>
      </c>
      <c r="C38" s="30">
        <v>88.76</v>
      </c>
      <c r="D38" s="30">
        <v>45.21</v>
      </c>
      <c r="E38" s="30">
        <v>176.02</v>
      </c>
      <c r="F38" s="30">
        <v>226.22</v>
      </c>
      <c r="G38" s="30">
        <v>514.22</v>
      </c>
      <c r="H38" s="30">
        <v>381.63</v>
      </c>
      <c r="I38" s="30">
        <v>515.05999999999995</v>
      </c>
      <c r="J38" s="30">
        <v>150.44999999999999</v>
      </c>
      <c r="K38" s="30">
        <v>87.43</v>
      </c>
      <c r="L38" s="30">
        <v>46.86</v>
      </c>
      <c r="M38" s="48">
        <v>33.14</v>
      </c>
      <c r="N38" s="4">
        <f t="shared" si="0"/>
        <v>2276.2599999999998</v>
      </c>
      <c r="P38" s="52">
        <v>1983</v>
      </c>
      <c r="Q38" s="89" t="s">
        <v>13</v>
      </c>
      <c r="R38" s="89" t="s">
        <v>13</v>
      </c>
      <c r="S38" s="89" t="s">
        <v>13</v>
      </c>
      <c r="T38" s="89" t="s">
        <v>13</v>
      </c>
      <c r="U38" s="89" t="s">
        <v>13</v>
      </c>
      <c r="V38" s="89" t="s">
        <v>13</v>
      </c>
      <c r="W38" s="74">
        <v>476.37</v>
      </c>
      <c r="X38" s="74">
        <v>620.74</v>
      </c>
      <c r="Y38" s="74">
        <v>207.87</v>
      </c>
      <c r="Z38" s="74">
        <v>147.91</v>
      </c>
      <c r="AA38" s="74">
        <v>97.42</v>
      </c>
      <c r="AB38" s="75">
        <v>53.09</v>
      </c>
      <c r="AC38" s="90">
        <f t="shared" si="1"/>
        <v>1603.4</v>
      </c>
    </row>
    <row r="39" spans="1:32" x14ac:dyDescent="0.25">
      <c r="A39" s="52">
        <v>1984</v>
      </c>
      <c r="B39" s="133" t="s">
        <v>13</v>
      </c>
      <c r="C39" s="133" t="s">
        <v>13</v>
      </c>
      <c r="D39" s="133" t="s">
        <v>13</v>
      </c>
      <c r="E39" s="133" t="s">
        <v>13</v>
      </c>
      <c r="F39" s="133" t="s">
        <v>13</v>
      </c>
      <c r="G39" s="133" t="s">
        <v>13</v>
      </c>
      <c r="H39" s="133" t="s">
        <v>13</v>
      </c>
      <c r="I39" s="30">
        <v>434.64</v>
      </c>
      <c r="J39" s="30">
        <v>152.85</v>
      </c>
      <c r="K39" s="30">
        <v>70.790000000000006</v>
      </c>
      <c r="L39" s="30">
        <v>52.89</v>
      </c>
      <c r="M39" s="48">
        <v>24.6</v>
      </c>
      <c r="N39" s="90">
        <f t="shared" si="0"/>
        <v>735.77</v>
      </c>
      <c r="P39" s="52">
        <v>1984</v>
      </c>
      <c r="Q39" s="76">
        <v>16.91</v>
      </c>
      <c r="R39" s="76">
        <v>129.38999999999999</v>
      </c>
      <c r="S39" s="76">
        <v>262.81</v>
      </c>
      <c r="T39" s="76">
        <v>348.38</v>
      </c>
      <c r="U39" s="76">
        <v>333.94</v>
      </c>
      <c r="V39" s="65">
        <v>241.08</v>
      </c>
      <c r="W39" s="65">
        <v>337.57</v>
      </c>
      <c r="X39" s="30">
        <v>462.16</v>
      </c>
      <c r="Y39" s="30">
        <v>122.63</v>
      </c>
      <c r="Z39" s="30">
        <v>115.86</v>
      </c>
      <c r="AA39" s="30">
        <v>82.06</v>
      </c>
      <c r="AB39" s="48">
        <v>6.11</v>
      </c>
      <c r="AC39" s="4">
        <f t="shared" si="1"/>
        <v>2458.9</v>
      </c>
    </row>
    <row r="40" spans="1:32" x14ac:dyDescent="0.25">
      <c r="A40" s="52">
        <v>1985</v>
      </c>
      <c r="B40" s="30">
        <v>60.3</v>
      </c>
      <c r="C40" s="30">
        <v>106.13</v>
      </c>
      <c r="D40" s="30">
        <v>62.13</v>
      </c>
      <c r="E40" s="30">
        <v>208.19</v>
      </c>
      <c r="F40" s="30">
        <v>502.72</v>
      </c>
      <c r="G40" s="133" t="s">
        <v>13</v>
      </c>
      <c r="H40" s="133" t="s">
        <v>13</v>
      </c>
      <c r="I40" s="30">
        <v>316.99</v>
      </c>
      <c r="J40" s="30">
        <v>219.7</v>
      </c>
      <c r="K40" s="30">
        <v>122.32</v>
      </c>
      <c r="L40" s="30">
        <v>68.09</v>
      </c>
      <c r="M40" s="48">
        <v>22.71</v>
      </c>
      <c r="N40" s="90">
        <f t="shared" si="0"/>
        <v>1689.28</v>
      </c>
      <c r="P40" s="52">
        <v>1985</v>
      </c>
      <c r="Q40" s="30">
        <v>71.48</v>
      </c>
      <c r="R40" s="30">
        <v>185.18</v>
      </c>
      <c r="S40" s="30">
        <v>122.98</v>
      </c>
      <c r="T40" s="30">
        <v>272.02999999999997</v>
      </c>
      <c r="U40" s="76">
        <v>542.03</v>
      </c>
      <c r="V40" s="76">
        <v>399.65</v>
      </c>
      <c r="W40" s="76">
        <v>364.46</v>
      </c>
      <c r="X40" s="30">
        <v>388.28</v>
      </c>
      <c r="Y40" s="30">
        <v>233.83</v>
      </c>
      <c r="Z40" s="30">
        <v>148.28</v>
      </c>
      <c r="AA40" s="30">
        <v>63.11</v>
      </c>
      <c r="AB40" s="48">
        <v>25.93</v>
      </c>
      <c r="AC40" s="4">
        <f t="shared" si="1"/>
        <v>2817.2400000000002</v>
      </c>
    </row>
    <row r="41" spans="1:32" x14ac:dyDescent="0.25">
      <c r="A41" s="52">
        <v>1986</v>
      </c>
      <c r="B41" s="30">
        <v>22.35</v>
      </c>
      <c r="C41" s="30">
        <v>172.63</v>
      </c>
      <c r="D41" s="30">
        <v>287.08999999999997</v>
      </c>
      <c r="E41" s="30">
        <v>316.19</v>
      </c>
      <c r="F41" s="30">
        <v>555.07000000000005</v>
      </c>
      <c r="G41" s="30">
        <v>618.84</v>
      </c>
      <c r="H41" s="30">
        <v>405.06</v>
      </c>
      <c r="I41" s="30">
        <v>482.66</v>
      </c>
      <c r="J41" s="30">
        <v>324.18</v>
      </c>
      <c r="K41" s="30">
        <v>179.06</v>
      </c>
      <c r="L41" s="30">
        <v>83.09</v>
      </c>
      <c r="M41" s="134">
        <v>26.68</v>
      </c>
      <c r="N41" s="90">
        <f t="shared" si="0"/>
        <v>3472.8999999999996</v>
      </c>
      <c r="P41" s="52">
        <v>1986</v>
      </c>
      <c r="Q41" s="30">
        <v>16.239999999999998</v>
      </c>
      <c r="R41" s="30">
        <v>213.26</v>
      </c>
      <c r="S41" s="30">
        <v>323.14</v>
      </c>
      <c r="T41" s="30">
        <v>305.86</v>
      </c>
      <c r="U41" s="30">
        <v>563.19000000000005</v>
      </c>
      <c r="V41" s="30">
        <v>614.71</v>
      </c>
      <c r="W41" s="30">
        <v>472.18</v>
      </c>
      <c r="X41" s="30">
        <v>470.97</v>
      </c>
      <c r="Y41" s="30">
        <v>312.19</v>
      </c>
      <c r="Z41" s="30">
        <v>177.26</v>
      </c>
      <c r="AA41" s="30">
        <v>65.349999999999994</v>
      </c>
      <c r="AB41" s="48">
        <v>45.24</v>
      </c>
      <c r="AC41" s="4">
        <f t="shared" si="1"/>
        <v>3579.5899999999997</v>
      </c>
    </row>
    <row r="42" spans="1:32" x14ac:dyDescent="0.25">
      <c r="A42" s="52">
        <v>1987</v>
      </c>
      <c r="B42" s="31">
        <v>101.92</v>
      </c>
      <c r="C42" s="31">
        <v>165.3</v>
      </c>
      <c r="D42" s="31">
        <v>333.54</v>
      </c>
      <c r="E42" s="133" t="s">
        <v>13</v>
      </c>
      <c r="F42" s="89">
        <v>343.59</v>
      </c>
      <c r="G42" s="89">
        <v>178.39</v>
      </c>
      <c r="H42" s="89">
        <v>285.61</v>
      </c>
      <c r="I42" s="31">
        <v>354.66</v>
      </c>
      <c r="J42" s="89">
        <v>212.23</v>
      </c>
      <c r="K42" s="30">
        <v>270.83999999999997</v>
      </c>
      <c r="L42" s="30">
        <v>31.08</v>
      </c>
      <c r="M42" s="134">
        <v>20.079999999999998</v>
      </c>
      <c r="N42" s="90">
        <f t="shared" si="0"/>
        <v>2297.2399999999998</v>
      </c>
      <c r="P42" s="52">
        <v>1987</v>
      </c>
      <c r="Q42" s="30">
        <v>109.5</v>
      </c>
      <c r="R42" s="30">
        <v>159.78</v>
      </c>
      <c r="S42" s="30">
        <v>395.42</v>
      </c>
      <c r="T42" s="65">
        <v>345.48</v>
      </c>
      <c r="U42" s="30">
        <v>317.64999999999998</v>
      </c>
      <c r="V42" s="30">
        <v>333.55</v>
      </c>
      <c r="W42" s="30">
        <v>499.69</v>
      </c>
      <c r="X42" s="30">
        <v>373.84</v>
      </c>
      <c r="Y42" s="30">
        <v>331.83</v>
      </c>
      <c r="Z42" s="30">
        <v>308.83999999999997</v>
      </c>
      <c r="AA42" s="30">
        <v>98.42</v>
      </c>
      <c r="AB42" s="48">
        <v>31.65</v>
      </c>
      <c r="AC42" s="4">
        <f t="shared" si="1"/>
        <v>3305.65</v>
      </c>
    </row>
    <row r="43" spans="1:32" x14ac:dyDescent="0.25">
      <c r="A43" s="52">
        <v>1988</v>
      </c>
      <c r="B43" s="32">
        <v>28.75</v>
      </c>
      <c r="C43" s="32">
        <v>30.8</v>
      </c>
      <c r="D43" s="32">
        <v>154.72</v>
      </c>
      <c r="E43" s="133" t="s">
        <v>13</v>
      </c>
      <c r="F43" s="133" t="s">
        <v>13</v>
      </c>
      <c r="G43" s="32">
        <v>543.78</v>
      </c>
      <c r="H43" s="32">
        <v>385.8</v>
      </c>
      <c r="I43" s="32">
        <v>384.14</v>
      </c>
      <c r="J43" s="32">
        <v>253.4</v>
      </c>
      <c r="K43" s="32">
        <v>285.45</v>
      </c>
      <c r="L43" s="32">
        <v>123.17</v>
      </c>
      <c r="M43" s="49">
        <v>70.16</v>
      </c>
      <c r="N43" s="90">
        <f t="shared" si="0"/>
        <v>2260.1699999999996</v>
      </c>
      <c r="P43" s="52">
        <v>1988</v>
      </c>
      <c r="Q43" s="32">
        <v>49.64</v>
      </c>
      <c r="R43" s="32">
        <v>50.26</v>
      </c>
      <c r="S43" s="32">
        <v>117.44</v>
      </c>
      <c r="T43" s="65">
        <v>415.62</v>
      </c>
      <c r="U43" s="65">
        <v>690.01</v>
      </c>
      <c r="V43" s="32">
        <v>480.88</v>
      </c>
      <c r="W43" s="32">
        <v>457.46</v>
      </c>
      <c r="X43" s="32">
        <v>316.35000000000002</v>
      </c>
      <c r="Y43" s="32">
        <v>258.19</v>
      </c>
      <c r="Z43" s="32">
        <v>330.45</v>
      </c>
      <c r="AA43" s="32">
        <v>131.44999999999999</v>
      </c>
      <c r="AB43" s="91">
        <v>75.61</v>
      </c>
      <c r="AC43" s="90">
        <f t="shared" si="1"/>
        <v>3373.3599999999997</v>
      </c>
    </row>
    <row r="44" spans="1:32" x14ac:dyDescent="0.25">
      <c r="A44" s="52">
        <v>1989</v>
      </c>
      <c r="B44" s="2">
        <v>62.46</v>
      </c>
      <c r="C44" s="2">
        <v>78.73</v>
      </c>
      <c r="D44" s="2">
        <v>133.12</v>
      </c>
      <c r="E44" s="2">
        <v>254.95</v>
      </c>
      <c r="F44" s="2">
        <v>576.1</v>
      </c>
      <c r="G44" s="2">
        <v>390.06</v>
      </c>
      <c r="H44" s="2">
        <v>526.98</v>
      </c>
      <c r="I44" s="2">
        <v>297.94</v>
      </c>
      <c r="J44" s="2">
        <v>295.5</v>
      </c>
      <c r="K44" s="2">
        <v>79.819999999999993</v>
      </c>
      <c r="L44" s="2">
        <v>61.51</v>
      </c>
      <c r="M44" s="16">
        <v>34.74</v>
      </c>
      <c r="N44" s="4">
        <f t="shared" si="0"/>
        <v>2791.9100000000003</v>
      </c>
      <c r="P44" s="52">
        <v>1989</v>
      </c>
      <c r="Q44" s="2">
        <v>60.17</v>
      </c>
      <c r="R44" s="2">
        <v>72.28</v>
      </c>
      <c r="S44" s="2">
        <v>108.18</v>
      </c>
      <c r="T44" s="2">
        <v>268.58</v>
      </c>
      <c r="U44" s="2">
        <v>710.79</v>
      </c>
      <c r="V44" s="4">
        <v>470.5</v>
      </c>
      <c r="W44" s="2">
        <v>681.29</v>
      </c>
      <c r="X44" s="2">
        <v>389.43</v>
      </c>
      <c r="Y44" s="2">
        <v>446.78</v>
      </c>
      <c r="Z44" s="2">
        <v>85.27</v>
      </c>
      <c r="AA44" s="2">
        <v>117.46</v>
      </c>
      <c r="AB44" s="16">
        <v>55.24</v>
      </c>
      <c r="AC44" s="4">
        <f>SUM(Q44:AB44)</f>
        <v>3465.97</v>
      </c>
    </row>
    <row r="45" spans="1:32" x14ac:dyDescent="0.25">
      <c r="A45" s="52">
        <v>1990</v>
      </c>
      <c r="B45" s="2">
        <v>25.46</v>
      </c>
      <c r="C45" s="2">
        <v>107.75</v>
      </c>
      <c r="D45" s="2">
        <v>253.91</v>
      </c>
      <c r="E45" s="2">
        <v>478.52</v>
      </c>
      <c r="F45" s="2">
        <v>535.71</v>
      </c>
      <c r="G45" s="2">
        <v>425.7</v>
      </c>
      <c r="H45" s="2">
        <v>387.19</v>
      </c>
      <c r="I45" s="2">
        <v>475.97</v>
      </c>
      <c r="J45" s="2">
        <v>154.63</v>
      </c>
      <c r="K45" s="2">
        <v>201.23</v>
      </c>
      <c r="L45" s="2">
        <v>51.04</v>
      </c>
      <c r="M45" s="16">
        <v>45.57</v>
      </c>
      <c r="N45" s="4">
        <f t="shared" si="0"/>
        <v>3142.6800000000003</v>
      </c>
      <c r="P45" s="52">
        <v>1990</v>
      </c>
      <c r="Q45" s="2">
        <v>29.59</v>
      </c>
      <c r="R45" s="2">
        <v>115.93</v>
      </c>
      <c r="S45" s="2">
        <v>303.32</v>
      </c>
      <c r="T45" s="2">
        <v>541.91</v>
      </c>
      <c r="U45" s="2">
        <v>725.96</v>
      </c>
      <c r="V45" s="4">
        <v>594.1</v>
      </c>
      <c r="W45" s="2">
        <v>247.04</v>
      </c>
      <c r="X45" s="2">
        <v>434.96</v>
      </c>
      <c r="Y45" s="2">
        <v>150.05000000000001</v>
      </c>
      <c r="Z45" s="2">
        <v>205.96</v>
      </c>
      <c r="AA45" s="2">
        <v>40.229999999999997</v>
      </c>
      <c r="AB45" s="16">
        <v>56.17</v>
      </c>
      <c r="AC45" s="4">
        <f>SUM(Q45:AB45)</f>
        <v>3445.2200000000003</v>
      </c>
    </row>
    <row r="46" spans="1:32" x14ac:dyDescent="0.25">
      <c r="A46" s="52">
        <v>1991</v>
      </c>
      <c r="B46" s="4">
        <v>104.05</v>
      </c>
      <c r="C46" s="4">
        <v>72.02000000000001</v>
      </c>
      <c r="D46" s="4">
        <v>190.23999999999998</v>
      </c>
      <c r="E46" s="4">
        <v>340.93000000000006</v>
      </c>
      <c r="F46" s="90" t="s">
        <v>13</v>
      </c>
      <c r="G46" s="90" t="s">
        <v>13</v>
      </c>
      <c r="H46" s="4">
        <v>631.54</v>
      </c>
      <c r="I46" s="4">
        <v>470.53999999999991</v>
      </c>
      <c r="J46" s="4">
        <v>279.34999999999997</v>
      </c>
      <c r="K46" s="4">
        <v>221.61999999999995</v>
      </c>
      <c r="L46" s="4">
        <v>59.749999999999993</v>
      </c>
      <c r="M46" s="4">
        <v>37.25</v>
      </c>
      <c r="N46" s="90">
        <f t="shared" si="0"/>
        <v>2407.29</v>
      </c>
      <c r="P46" s="52">
        <v>1991</v>
      </c>
      <c r="Q46" s="4">
        <v>93.649999999999991</v>
      </c>
      <c r="R46" s="4">
        <v>82.299999999999983</v>
      </c>
      <c r="S46" s="4">
        <v>188.51</v>
      </c>
      <c r="T46" s="4">
        <v>308.52</v>
      </c>
      <c r="U46" s="4">
        <v>539.26999999999987</v>
      </c>
      <c r="V46" s="90">
        <v>421.01999999999992</v>
      </c>
      <c r="W46" s="4">
        <v>654.56999999999994</v>
      </c>
      <c r="X46" s="4">
        <v>414.22</v>
      </c>
      <c r="Y46" s="4">
        <v>312.26999999999992</v>
      </c>
      <c r="Z46" s="4">
        <v>186.41</v>
      </c>
      <c r="AA46" s="4">
        <v>27.490000000000002</v>
      </c>
      <c r="AB46" s="4">
        <v>14.989999999999998</v>
      </c>
      <c r="AC46" s="90">
        <f>SUM(Q46:AB46)</f>
        <v>3243.22</v>
      </c>
      <c r="AE46" s="17"/>
      <c r="AF46" s="17"/>
    </row>
    <row r="47" spans="1:32" x14ac:dyDescent="0.25">
      <c r="A47" s="52">
        <v>1992</v>
      </c>
      <c r="B47" s="92">
        <v>62.359999999999992</v>
      </c>
      <c r="C47" s="8">
        <v>49.499999999999993</v>
      </c>
      <c r="D47" s="8">
        <v>132.34</v>
      </c>
      <c r="E47" s="8">
        <v>180.13</v>
      </c>
      <c r="F47" s="8">
        <v>554.87</v>
      </c>
      <c r="G47" s="8">
        <v>714.93999999999994</v>
      </c>
      <c r="H47" s="8">
        <v>589.34000000000015</v>
      </c>
      <c r="I47" s="8">
        <v>359.92999999999989</v>
      </c>
      <c r="J47" s="8">
        <v>174.15000000000003</v>
      </c>
      <c r="K47" s="8">
        <v>173.07000000000005</v>
      </c>
      <c r="L47" s="8">
        <v>26.300000000000004</v>
      </c>
      <c r="M47" s="8">
        <v>65.180000000000007</v>
      </c>
      <c r="N47" s="90">
        <f t="shared" si="0"/>
        <v>3082.11</v>
      </c>
      <c r="P47" s="52">
        <v>1992</v>
      </c>
      <c r="Q47" s="8">
        <v>84.5</v>
      </c>
      <c r="R47" s="8">
        <v>60.830000000000013</v>
      </c>
      <c r="S47" s="8">
        <v>157.32000000000002</v>
      </c>
      <c r="T47" s="8">
        <v>134.03</v>
      </c>
      <c r="U47" s="8">
        <v>530.0200000000001</v>
      </c>
      <c r="V47" s="8">
        <v>651.70000000000005</v>
      </c>
      <c r="W47" s="8">
        <v>613.21999999999991</v>
      </c>
      <c r="X47" s="8">
        <v>391.46999999999997</v>
      </c>
      <c r="Y47" s="92">
        <v>90.95</v>
      </c>
      <c r="Z47" s="8">
        <v>159.47</v>
      </c>
      <c r="AA47" s="8">
        <v>52.980000000000004</v>
      </c>
      <c r="AB47" s="8">
        <v>67.789999999999992</v>
      </c>
      <c r="AC47" s="90">
        <f t="shared" ref="AC47:AC76" si="2">SUM(Q47:AB47)</f>
        <v>2994.2799999999993</v>
      </c>
    </row>
    <row r="48" spans="1:32" x14ac:dyDescent="0.25">
      <c r="A48" s="52">
        <v>1993</v>
      </c>
      <c r="B48" s="7">
        <v>50.870000000000005</v>
      </c>
      <c r="C48" s="7">
        <v>45.02</v>
      </c>
      <c r="D48" s="7">
        <v>160.47999999999999</v>
      </c>
      <c r="E48" s="7">
        <v>362.58</v>
      </c>
      <c r="F48" s="7">
        <v>683.36</v>
      </c>
      <c r="G48" s="7">
        <v>518.42000000000019</v>
      </c>
      <c r="H48" s="7">
        <v>339.23</v>
      </c>
      <c r="I48" s="7">
        <v>386.99000000000007</v>
      </c>
      <c r="J48" s="7">
        <v>220.73000000000002</v>
      </c>
      <c r="K48" s="7">
        <v>144.07</v>
      </c>
      <c r="L48" s="7">
        <v>43.720000000000006</v>
      </c>
      <c r="M48" s="7">
        <v>7.44</v>
      </c>
      <c r="N48" s="4">
        <f t="shared" si="0"/>
        <v>2962.9100000000003</v>
      </c>
      <c r="P48" s="52">
        <v>1993</v>
      </c>
      <c r="Q48" s="7">
        <v>73.149999999999991</v>
      </c>
      <c r="R48" s="7">
        <v>120.42999999999999</v>
      </c>
      <c r="S48" s="7">
        <v>219.73000000000002</v>
      </c>
      <c r="T48" s="7">
        <v>417.84000000000003</v>
      </c>
      <c r="U48" s="7">
        <v>718.99999999999977</v>
      </c>
      <c r="V48" s="7">
        <v>534.5200000000001</v>
      </c>
      <c r="W48" s="7">
        <v>337.02</v>
      </c>
      <c r="X48" s="7">
        <v>398.71</v>
      </c>
      <c r="Y48" s="7">
        <v>272.26000000000005</v>
      </c>
      <c r="Z48" s="7">
        <v>271.39</v>
      </c>
      <c r="AA48" s="7">
        <v>107.47000000000001</v>
      </c>
      <c r="AB48" s="7">
        <v>10.729999999999999</v>
      </c>
      <c r="AC48" s="4">
        <f t="shared" si="2"/>
        <v>3482.25</v>
      </c>
    </row>
    <row r="49" spans="1:29" x14ac:dyDescent="0.25">
      <c r="A49" s="52">
        <v>1994</v>
      </c>
      <c r="B49" s="8">
        <v>3.9199999999999995</v>
      </c>
      <c r="C49" s="8">
        <v>119.66999999999999</v>
      </c>
      <c r="D49" s="8">
        <v>177.97</v>
      </c>
      <c r="E49" s="8">
        <v>235.03000000000003</v>
      </c>
      <c r="F49" s="8">
        <v>523.81999999999994</v>
      </c>
      <c r="G49" s="8">
        <v>738.8599999999999</v>
      </c>
      <c r="H49" s="8">
        <v>1105.6800000000003</v>
      </c>
      <c r="I49" s="8">
        <v>495.06000000000012</v>
      </c>
      <c r="J49" s="8">
        <v>242.43999999999994</v>
      </c>
      <c r="K49" s="8">
        <v>213.5</v>
      </c>
      <c r="L49" s="92">
        <v>104.59</v>
      </c>
      <c r="M49" s="92">
        <v>26.689999999999998</v>
      </c>
      <c r="N49" s="90">
        <f t="shared" si="0"/>
        <v>3987.23</v>
      </c>
      <c r="P49" s="52">
        <v>1994</v>
      </c>
      <c r="Q49" s="8">
        <v>23.499999999999996</v>
      </c>
      <c r="R49" s="8">
        <v>175.44</v>
      </c>
      <c r="S49" s="8">
        <v>207.98</v>
      </c>
      <c r="T49" s="8">
        <v>268.06</v>
      </c>
      <c r="U49" s="8">
        <v>554.31000000000017</v>
      </c>
      <c r="V49" s="8">
        <v>606.21</v>
      </c>
      <c r="W49" s="8">
        <v>1106.2899999999997</v>
      </c>
      <c r="X49" s="8">
        <v>373.31000000000006</v>
      </c>
      <c r="Y49" s="8">
        <v>202.08</v>
      </c>
      <c r="Z49" s="8">
        <v>201.02000000000004</v>
      </c>
      <c r="AA49" s="8">
        <v>138.66999999999999</v>
      </c>
      <c r="AB49" s="8">
        <v>38.619999999999997</v>
      </c>
      <c r="AC49" s="4">
        <f t="shared" si="2"/>
        <v>3895.49</v>
      </c>
    </row>
    <row r="50" spans="1:29" x14ac:dyDescent="0.25">
      <c r="A50" s="52">
        <v>1995</v>
      </c>
      <c r="B50" s="8">
        <v>123.99</v>
      </c>
      <c r="C50" s="8">
        <v>96.699999999999989</v>
      </c>
      <c r="D50" s="8">
        <v>178.96</v>
      </c>
      <c r="E50" s="92">
        <v>482.28</v>
      </c>
      <c r="F50" s="92">
        <v>569.38</v>
      </c>
      <c r="G50" s="92">
        <v>430.35</v>
      </c>
      <c r="H50" s="92">
        <v>441.7</v>
      </c>
      <c r="I50" s="92" t="s">
        <v>13</v>
      </c>
      <c r="J50" s="92" t="s">
        <v>13</v>
      </c>
      <c r="K50" s="8">
        <v>167.85999999999996</v>
      </c>
      <c r="L50" s="8">
        <v>133.94000000000003</v>
      </c>
      <c r="M50" s="8">
        <v>93.969999999999985</v>
      </c>
      <c r="N50" s="90">
        <f t="shared" si="0"/>
        <v>2719.1299999999997</v>
      </c>
      <c r="P50" s="52">
        <v>1995</v>
      </c>
      <c r="Q50" s="92">
        <v>47.32</v>
      </c>
      <c r="R50" s="8">
        <v>102.09</v>
      </c>
      <c r="S50" s="8">
        <v>145.70000000000002</v>
      </c>
      <c r="T50" s="8">
        <v>356.65</v>
      </c>
      <c r="U50" s="8">
        <v>342.88999999999993</v>
      </c>
      <c r="V50" s="92">
        <v>324.8</v>
      </c>
      <c r="W50" s="8">
        <v>651.94000000000005</v>
      </c>
      <c r="X50" s="8">
        <v>632.99999999999989</v>
      </c>
      <c r="Y50" s="8">
        <v>220.91000000000003</v>
      </c>
      <c r="Z50" s="8">
        <v>216.5</v>
      </c>
      <c r="AA50" s="8">
        <v>94.09999999999998</v>
      </c>
      <c r="AB50" s="8">
        <v>103.52000000000001</v>
      </c>
      <c r="AC50" s="90">
        <f t="shared" si="2"/>
        <v>3239.4199999999996</v>
      </c>
    </row>
    <row r="51" spans="1:29" x14ac:dyDescent="0.25">
      <c r="A51" s="52">
        <v>1996</v>
      </c>
      <c r="B51" s="8">
        <v>110.47000000000001</v>
      </c>
      <c r="C51" s="8">
        <v>198.42</v>
      </c>
      <c r="D51" s="8">
        <v>348.4</v>
      </c>
      <c r="E51" s="8">
        <v>446.20999999999987</v>
      </c>
      <c r="F51" s="92">
        <v>333.1099999999999</v>
      </c>
      <c r="G51" s="8">
        <v>418.85999999999996</v>
      </c>
      <c r="H51" s="8">
        <v>458.82</v>
      </c>
      <c r="I51" s="8">
        <v>522.1400000000001</v>
      </c>
      <c r="J51" s="8">
        <v>273.82000000000005</v>
      </c>
      <c r="K51" s="92" t="s">
        <v>13</v>
      </c>
      <c r="L51" s="92" t="s">
        <v>13</v>
      </c>
      <c r="M51" s="92" t="s">
        <v>13</v>
      </c>
      <c r="N51" s="90">
        <f t="shared" si="0"/>
        <v>3110.2499999999995</v>
      </c>
      <c r="P51" s="52">
        <v>1996</v>
      </c>
      <c r="Q51" s="8">
        <v>106.16</v>
      </c>
      <c r="R51" s="8">
        <v>183.98000000000002</v>
      </c>
      <c r="S51" s="8">
        <v>376.37999999999994</v>
      </c>
      <c r="T51" s="92">
        <v>433.61000000000007</v>
      </c>
      <c r="U51" s="8">
        <v>369.79000000000008</v>
      </c>
      <c r="V51" s="8">
        <v>471.33999999999986</v>
      </c>
      <c r="W51" s="8">
        <v>402.09</v>
      </c>
      <c r="X51" s="8">
        <v>604.7800000000002</v>
      </c>
      <c r="Y51" s="8">
        <v>235.51000000000005</v>
      </c>
      <c r="Z51" s="8">
        <v>131.39000000000001</v>
      </c>
      <c r="AA51" s="8">
        <v>83.519999999999982</v>
      </c>
      <c r="AB51" s="8">
        <v>75.55</v>
      </c>
      <c r="AC51" s="90">
        <f t="shared" si="2"/>
        <v>3474.1000000000004</v>
      </c>
    </row>
    <row r="52" spans="1:29" x14ac:dyDescent="0.25">
      <c r="A52" s="52">
        <v>1997</v>
      </c>
      <c r="B52" s="92">
        <v>86.97</v>
      </c>
      <c r="C52" s="92" t="s">
        <v>13</v>
      </c>
      <c r="D52" s="8">
        <v>336.11999999999995</v>
      </c>
      <c r="E52" s="8">
        <v>309.25</v>
      </c>
      <c r="F52" s="8">
        <v>430.63</v>
      </c>
      <c r="G52" s="92">
        <v>286.43</v>
      </c>
      <c r="H52" s="92">
        <v>157.77000000000001</v>
      </c>
      <c r="I52" s="8">
        <v>644.4</v>
      </c>
      <c r="J52" s="8">
        <v>252.61</v>
      </c>
      <c r="K52" s="92">
        <v>21.150000000000002</v>
      </c>
      <c r="L52" s="92">
        <v>21.400000000000002</v>
      </c>
      <c r="M52" s="92">
        <v>71.819999999999993</v>
      </c>
      <c r="N52" s="90">
        <f t="shared" si="0"/>
        <v>2618.5500000000002</v>
      </c>
      <c r="P52" s="52">
        <v>1997</v>
      </c>
      <c r="Q52" s="8">
        <v>87.75</v>
      </c>
      <c r="R52" s="8">
        <v>127.67</v>
      </c>
      <c r="S52" s="8">
        <v>341.28999999999991</v>
      </c>
      <c r="T52" s="8">
        <v>351.65</v>
      </c>
      <c r="U52" s="8">
        <v>465.96</v>
      </c>
      <c r="V52" s="8">
        <v>415.53</v>
      </c>
      <c r="W52" s="8">
        <v>484.9</v>
      </c>
      <c r="X52" s="8">
        <v>732.07999999999981</v>
      </c>
      <c r="Y52" s="8">
        <v>346.83999999999992</v>
      </c>
      <c r="Z52" s="8">
        <v>75.38000000000001</v>
      </c>
      <c r="AA52" s="8">
        <v>21.099999999999998</v>
      </c>
      <c r="AB52" s="8">
        <v>69.820000000000007</v>
      </c>
      <c r="AC52" s="4">
        <f t="shared" si="2"/>
        <v>3519.9700000000003</v>
      </c>
    </row>
    <row r="53" spans="1:29" x14ac:dyDescent="0.25">
      <c r="A53" s="52">
        <v>1998</v>
      </c>
      <c r="B53" s="92">
        <v>53.800000000000004</v>
      </c>
      <c r="C53" s="8">
        <v>44.199999999999996</v>
      </c>
      <c r="D53" s="8">
        <v>325.18</v>
      </c>
      <c r="E53" s="8">
        <v>334.69000000000005</v>
      </c>
      <c r="F53" s="92">
        <v>536.45000000000005</v>
      </c>
      <c r="G53" s="8">
        <v>305.66999999999996</v>
      </c>
      <c r="H53" s="92">
        <v>280.58000000000004</v>
      </c>
      <c r="I53" s="92" t="s">
        <v>13</v>
      </c>
      <c r="J53" s="8">
        <v>324.37999999999994</v>
      </c>
      <c r="K53" s="8">
        <v>143.56</v>
      </c>
      <c r="L53" s="92">
        <v>98.26</v>
      </c>
      <c r="M53" s="8">
        <v>43.820000000000007</v>
      </c>
      <c r="N53" s="90">
        <f t="shared" si="0"/>
        <v>2490.5900000000006</v>
      </c>
      <c r="P53" s="52">
        <v>1998</v>
      </c>
      <c r="Q53" s="8">
        <v>76.34</v>
      </c>
      <c r="R53" s="8">
        <v>44.38</v>
      </c>
      <c r="S53" s="8">
        <v>351.32</v>
      </c>
      <c r="T53" s="8">
        <v>301.04000000000002</v>
      </c>
      <c r="U53" s="8">
        <v>461.03</v>
      </c>
      <c r="V53" s="8">
        <v>309.78999999999991</v>
      </c>
      <c r="W53" s="8">
        <v>345.84</v>
      </c>
      <c r="X53" s="8">
        <v>252.89</v>
      </c>
      <c r="Y53" s="8">
        <v>298.11999999999995</v>
      </c>
      <c r="Z53" s="8">
        <v>156.74999999999997</v>
      </c>
      <c r="AA53" s="8">
        <v>88.43</v>
      </c>
      <c r="AB53" s="8">
        <v>59.580000000000005</v>
      </c>
      <c r="AC53" s="4">
        <f t="shared" si="2"/>
        <v>2745.5099999999993</v>
      </c>
    </row>
    <row r="54" spans="1:29" x14ac:dyDescent="0.25">
      <c r="A54" s="52">
        <v>1999</v>
      </c>
      <c r="B54" s="8">
        <v>71.06</v>
      </c>
      <c r="C54" s="8">
        <v>98.179999999999993</v>
      </c>
      <c r="D54" s="92">
        <v>139.53</v>
      </c>
      <c r="E54" s="8">
        <v>182.31</v>
      </c>
      <c r="F54" s="8">
        <v>628.67000000000007</v>
      </c>
      <c r="G54" s="92">
        <v>418.91999999999996</v>
      </c>
      <c r="H54" s="92">
        <v>482.66999999999996</v>
      </c>
      <c r="I54" s="92">
        <v>363.48</v>
      </c>
      <c r="J54" s="8">
        <v>338.65999999999997</v>
      </c>
      <c r="K54" s="8">
        <v>122.45999999999998</v>
      </c>
      <c r="L54" s="8">
        <v>43.289999999999992</v>
      </c>
      <c r="M54" s="92">
        <v>7.7199999999999989</v>
      </c>
      <c r="N54" s="90">
        <f t="shared" si="0"/>
        <v>2896.95</v>
      </c>
      <c r="P54" s="52">
        <v>1999</v>
      </c>
      <c r="Q54" s="8">
        <v>48.790000000000006</v>
      </c>
      <c r="R54" s="8">
        <v>85.720000000000027</v>
      </c>
      <c r="S54" s="8">
        <v>292.11</v>
      </c>
      <c r="T54" s="8">
        <v>225.17000000000007</v>
      </c>
      <c r="U54" s="8">
        <v>568.91000000000008</v>
      </c>
      <c r="V54" s="8">
        <v>504.28</v>
      </c>
      <c r="W54" s="8">
        <v>618.14</v>
      </c>
      <c r="X54" s="8">
        <v>355.41</v>
      </c>
      <c r="Y54" s="8">
        <v>362.67000000000013</v>
      </c>
      <c r="Z54" s="8">
        <v>123.56999999999998</v>
      </c>
      <c r="AA54" s="8">
        <v>37.140000000000008</v>
      </c>
      <c r="AB54" s="8">
        <v>36.129999999999995</v>
      </c>
      <c r="AC54" s="4">
        <f t="shared" si="2"/>
        <v>3258.0400000000004</v>
      </c>
    </row>
    <row r="55" spans="1:29" x14ac:dyDescent="0.25">
      <c r="A55" s="52">
        <v>2000</v>
      </c>
      <c r="B55" s="92">
        <v>24.39</v>
      </c>
      <c r="C55" s="92">
        <v>51.099999999999994</v>
      </c>
      <c r="D55" s="8">
        <v>177.42999999999998</v>
      </c>
      <c r="E55" s="8">
        <v>360.46000000000004</v>
      </c>
      <c r="F55" s="92">
        <v>669.9</v>
      </c>
      <c r="G55" s="92">
        <v>493.36</v>
      </c>
      <c r="H55" s="8">
        <v>369.71000000000004</v>
      </c>
      <c r="I55" s="8">
        <v>371.22</v>
      </c>
      <c r="J55" s="92">
        <v>395.65000000000009</v>
      </c>
      <c r="K55" s="8">
        <v>168.06</v>
      </c>
      <c r="L55" s="8">
        <v>22.849999999999998</v>
      </c>
      <c r="M55" s="8">
        <v>14.309999999999999</v>
      </c>
      <c r="N55" s="90">
        <f t="shared" si="0"/>
        <v>3118.4399999999996</v>
      </c>
      <c r="P55" s="52">
        <v>2000</v>
      </c>
      <c r="Q55" s="8">
        <v>56.839999999999996</v>
      </c>
      <c r="R55" s="8">
        <v>106.27999999999999</v>
      </c>
      <c r="S55" s="8">
        <v>235.24</v>
      </c>
      <c r="T55" s="8">
        <v>479.03</v>
      </c>
      <c r="U55" s="8">
        <v>684.82</v>
      </c>
      <c r="V55" s="8">
        <v>504.04</v>
      </c>
      <c r="W55" s="8">
        <v>296.23999999999995</v>
      </c>
      <c r="X55" s="8">
        <v>382.21000000000015</v>
      </c>
      <c r="Y55" s="8">
        <v>425.56000000000006</v>
      </c>
      <c r="Z55" s="8">
        <v>306.35000000000014</v>
      </c>
      <c r="AA55" s="8">
        <v>14.48</v>
      </c>
      <c r="AB55" s="8">
        <v>7.2</v>
      </c>
      <c r="AC55" s="4">
        <f t="shared" si="2"/>
        <v>3498.2899999999995</v>
      </c>
    </row>
    <row r="56" spans="1:29" x14ac:dyDescent="0.25">
      <c r="A56" s="52">
        <v>2001</v>
      </c>
      <c r="B56" s="8">
        <v>29.2</v>
      </c>
      <c r="C56" s="8">
        <v>142.56</v>
      </c>
      <c r="D56" s="8">
        <v>245.44</v>
      </c>
      <c r="E56" s="8">
        <v>142.91999999999999</v>
      </c>
      <c r="F56" s="8">
        <v>712.04999999999973</v>
      </c>
      <c r="G56" s="8">
        <v>477.53999999999996</v>
      </c>
      <c r="H56" s="8">
        <v>534.73</v>
      </c>
      <c r="I56" s="8">
        <v>410.37000000000006</v>
      </c>
      <c r="J56" s="92">
        <v>119.32000000000001</v>
      </c>
      <c r="K56" s="8">
        <v>134.83000000000001</v>
      </c>
      <c r="L56" s="8">
        <v>68.490000000000009</v>
      </c>
      <c r="M56" s="92">
        <v>46.699999999999996</v>
      </c>
      <c r="N56" s="90">
        <f t="shared" si="0"/>
        <v>3064.1499999999996</v>
      </c>
      <c r="P56" s="52">
        <v>2001</v>
      </c>
      <c r="Q56" s="8">
        <v>5.6400000000000006</v>
      </c>
      <c r="R56" s="8">
        <v>132.47999999999999</v>
      </c>
      <c r="S56" s="8">
        <v>338.15</v>
      </c>
      <c r="T56" s="8">
        <v>198.92999999999998</v>
      </c>
      <c r="U56" s="8">
        <v>598.57999999999981</v>
      </c>
      <c r="V56" s="8">
        <v>400.15</v>
      </c>
      <c r="W56" s="8">
        <v>419.92000000000007</v>
      </c>
      <c r="X56" s="8">
        <v>374.92</v>
      </c>
      <c r="Y56" s="8">
        <v>186.01999999999998</v>
      </c>
      <c r="Z56" s="8">
        <v>158.63</v>
      </c>
      <c r="AA56" s="8">
        <v>99.5</v>
      </c>
      <c r="AB56" s="8">
        <v>95.52</v>
      </c>
      <c r="AC56" s="4">
        <f t="shared" si="2"/>
        <v>3008.44</v>
      </c>
    </row>
    <row r="57" spans="1:29" x14ac:dyDescent="0.25">
      <c r="A57" s="52">
        <v>2002</v>
      </c>
      <c r="B57" s="8">
        <v>18.36</v>
      </c>
      <c r="C57" s="8">
        <v>60.95</v>
      </c>
      <c r="D57" s="8">
        <v>244.33999999999997</v>
      </c>
      <c r="E57" s="92">
        <v>346.57000000000011</v>
      </c>
      <c r="F57" s="92">
        <v>554.36000000000013</v>
      </c>
      <c r="G57" s="8">
        <v>521.42999999999995</v>
      </c>
      <c r="H57" s="8">
        <v>480.34000000000003</v>
      </c>
      <c r="I57" s="8">
        <v>604.93000000000006</v>
      </c>
      <c r="J57" s="8">
        <v>336.02</v>
      </c>
      <c r="K57" s="8">
        <v>75.420000000000016</v>
      </c>
      <c r="L57" s="92">
        <v>64</v>
      </c>
      <c r="M57" s="8">
        <v>102.58000000000001</v>
      </c>
      <c r="N57" s="90">
        <f t="shared" si="0"/>
        <v>3409.3000000000006</v>
      </c>
      <c r="P57" s="52">
        <v>2002</v>
      </c>
      <c r="Q57" s="8">
        <v>22.2</v>
      </c>
      <c r="R57" s="8">
        <v>102.12000000000002</v>
      </c>
      <c r="S57" s="8">
        <v>319.66999999999996</v>
      </c>
      <c r="T57" s="8">
        <v>400</v>
      </c>
      <c r="U57" s="8">
        <v>722.9899999999999</v>
      </c>
      <c r="V57" s="8">
        <v>586.7600000000001</v>
      </c>
      <c r="W57" s="8">
        <v>592.2600000000001</v>
      </c>
      <c r="X57" s="8">
        <v>615.43999999999983</v>
      </c>
      <c r="Y57" s="8">
        <v>384.66999999999996</v>
      </c>
      <c r="Z57" s="8">
        <v>71.56</v>
      </c>
      <c r="AA57" s="8">
        <v>50.91</v>
      </c>
      <c r="AB57" s="8">
        <v>110.38000000000001</v>
      </c>
      <c r="AC57" s="4">
        <f t="shared" si="2"/>
        <v>3978.9600000000005</v>
      </c>
    </row>
    <row r="58" spans="1:29" x14ac:dyDescent="0.25">
      <c r="A58" s="52">
        <v>2003</v>
      </c>
      <c r="B58" s="92" t="s">
        <v>13</v>
      </c>
      <c r="C58" s="92" t="s">
        <v>13</v>
      </c>
      <c r="D58" s="92" t="s">
        <v>13</v>
      </c>
      <c r="E58" s="92" t="s">
        <v>13</v>
      </c>
      <c r="F58" s="92" t="s">
        <v>13</v>
      </c>
      <c r="G58" s="92" t="s">
        <v>13</v>
      </c>
      <c r="H58" s="92" t="s">
        <v>13</v>
      </c>
      <c r="I58" s="92" t="s">
        <v>13</v>
      </c>
      <c r="J58" s="92" t="s">
        <v>13</v>
      </c>
      <c r="K58" s="92" t="s">
        <v>13</v>
      </c>
      <c r="L58" s="92" t="s">
        <v>13</v>
      </c>
      <c r="M58" s="92" t="s">
        <v>13</v>
      </c>
      <c r="N58" s="92" t="s">
        <v>13</v>
      </c>
      <c r="P58" s="52">
        <v>2003</v>
      </c>
      <c r="Q58" s="8">
        <v>66.55680000000001</v>
      </c>
      <c r="R58" s="8">
        <v>121.4748</v>
      </c>
      <c r="S58" s="8">
        <v>377.22</v>
      </c>
      <c r="T58" s="8">
        <v>428.67359999999996</v>
      </c>
      <c r="U58" s="8">
        <v>424.01000000000005</v>
      </c>
      <c r="V58" s="8">
        <v>628.96</v>
      </c>
      <c r="W58" s="8">
        <v>543.4</v>
      </c>
      <c r="X58" s="92">
        <v>421.31</v>
      </c>
      <c r="Y58" s="92">
        <v>384.20000000000005</v>
      </c>
      <c r="Z58" s="8">
        <v>118.65</v>
      </c>
      <c r="AA58" s="92">
        <v>11.479999999999999</v>
      </c>
      <c r="AB58" s="8">
        <v>61.11</v>
      </c>
      <c r="AC58" s="90">
        <f t="shared" si="2"/>
        <v>3587.0452</v>
      </c>
    </row>
    <row r="59" spans="1:29" x14ac:dyDescent="0.25">
      <c r="A59" s="52">
        <v>2004</v>
      </c>
      <c r="B59" s="92" t="s">
        <v>13</v>
      </c>
      <c r="C59" s="92" t="s">
        <v>13</v>
      </c>
      <c r="D59" s="92" t="s">
        <v>13</v>
      </c>
      <c r="E59" s="92" t="s">
        <v>13</v>
      </c>
      <c r="F59" s="92" t="s">
        <v>13</v>
      </c>
      <c r="G59" s="92" t="s">
        <v>13</v>
      </c>
      <c r="H59" s="92" t="s">
        <v>13</v>
      </c>
      <c r="I59" s="92" t="s">
        <v>13</v>
      </c>
      <c r="J59" s="92" t="s">
        <v>13</v>
      </c>
      <c r="K59" s="92" t="s">
        <v>13</v>
      </c>
      <c r="L59" s="92" t="s">
        <v>13</v>
      </c>
      <c r="M59" s="92" t="s">
        <v>13</v>
      </c>
      <c r="N59" s="92" t="s">
        <v>13</v>
      </c>
      <c r="P59" s="52">
        <v>2004</v>
      </c>
      <c r="Q59" s="8">
        <v>45.453600000000009</v>
      </c>
      <c r="R59" s="8">
        <v>119.03399999999999</v>
      </c>
      <c r="S59" s="8">
        <v>225.07999999999998</v>
      </c>
      <c r="T59" s="8">
        <v>603.44639999999981</v>
      </c>
      <c r="U59" s="8">
        <v>440.72999999999985</v>
      </c>
      <c r="V59" s="8">
        <v>402.65</v>
      </c>
      <c r="W59" s="8">
        <v>430.83999999999992</v>
      </c>
      <c r="X59" s="8">
        <v>450.02</v>
      </c>
      <c r="Y59" s="8">
        <v>348.42999999999995</v>
      </c>
      <c r="Z59" s="8">
        <v>152.01000000000005</v>
      </c>
      <c r="AA59" s="8">
        <v>90.240000000000023</v>
      </c>
      <c r="AB59" s="8">
        <v>42.84</v>
      </c>
      <c r="AC59" s="4">
        <f t="shared" si="2"/>
        <v>3350.7739999999999</v>
      </c>
    </row>
    <row r="60" spans="1:29" x14ac:dyDescent="0.25">
      <c r="A60" s="52">
        <v>2005</v>
      </c>
      <c r="B60" s="92" t="s">
        <v>13</v>
      </c>
      <c r="C60" s="92" t="s">
        <v>13</v>
      </c>
      <c r="D60" s="92" t="s">
        <v>13</v>
      </c>
      <c r="E60" s="92" t="s">
        <v>13</v>
      </c>
      <c r="F60" s="92" t="s">
        <v>13</v>
      </c>
      <c r="G60" s="92" t="s">
        <v>13</v>
      </c>
      <c r="H60" s="92" t="s">
        <v>13</v>
      </c>
      <c r="I60" s="92" t="s">
        <v>13</v>
      </c>
      <c r="J60" s="92">
        <v>432.98000000000008</v>
      </c>
      <c r="K60" s="8">
        <v>343.49000000000007</v>
      </c>
      <c r="L60" s="8">
        <v>60.769999999999996</v>
      </c>
      <c r="M60" s="8">
        <v>37.909999999999997</v>
      </c>
      <c r="N60" s="90">
        <f t="shared" si="0"/>
        <v>875.15000000000009</v>
      </c>
      <c r="P60" s="52">
        <v>2005</v>
      </c>
      <c r="Q60" s="8">
        <v>46.641599999999997</v>
      </c>
      <c r="R60" s="8">
        <v>178.72920000000002</v>
      </c>
      <c r="S60" s="8">
        <v>269.26</v>
      </c>
      <c r="T60" s="8">
        <v>418.18680000000006</v>
      </c>
      <c r="U60" s="8">
        <v>543.38</v>
      </c>
      <c r="V60" s="8">
        <v>593.0200000000001</v>
      </c>
      <c r="W60" s="8">
        <v>696.6400000000001</v>
      </c>
      <c r="X60" s="8">
        <v>497.40999999999997</v>
      </c>
      <c r="Y60" s="8">
        <v>419.18999999999994</v>
      </c>
      <c r="Z60" s="8">
        <v>315.21999999999997</v>
      </c>
      <c r="AA60" s="8">
        <v>93.9</v>
      </c>
      <c r="AB60" s="8">
        <v>50.8</v>
      </c>
      <c r="AC60" s="4">
        <f t="shared" si="2"/>
        <v>4122.3775999999998</v>
      </c>
    </row>
    <row r="61" spans="1:29" x14ac:dyDescent="0.25">
      <c r="A61" s="52">
        <v>2006</v>
      </c>
      <c r="B61" s="8">
        <v>78.02</v>
      </c>
      <c r="C61" s="8">
        <v>110.87</v>
      </c>
      <c r="D61" s="8">
        <v>350.46000000000004</v>
      </c>
      <c r="E61" s="92">
        <v>195.62999999999997</v>
      </c>
      <c r="F61" s="92">
        <v>544.46</v>
      </c>
      <c r="G61" s="92">
        <v>730.83</v>
      </c>
      <c r="H61" s="92">
        <v>795.05000000000007</v>
      </c>
      <c r="I61" s="8">
        <v>304.69</v>
      </c>
      <c r="J61" s="8">
        <v>433.82999999999993</v>
      </c>
      <c r="K61" s="8">
        <v>126.42</v>
      </c>
      <c r="L61" s="8">
        <v>49.37</v>
      </c>
      <c r="M61" s="8">
        <v>53.410000000000004</v>
      </c>
      <c r="N61" s="90">
        <f t="shared" si="0"/>
        <v>3773.04</v>
      </c>
      <c r="P61" s="52">
        <v>2006</v>
      </c>
      <c r="Q61" s="8">
        <v>74.069999999999993</v>
      </c>
      <c r="R61" s="8">
        <v>82.72999999999999</v>
      </c>
      <c r="S61" s="8">
        <v>323.40000000000003</v>
      </c>
      <c r="T61" s="8">
        <v>379.78</v>
      </c>
      <c r="U61" s="8">
        <v>460.71999999999997</v>
      </c>
      <c r="V61" s="8">
        <v>717.57</v>
      </c>
      <c r="W61" s="8">
        <v>758.92000000000007</v>
      </c>
      <c r="X61" s="8">
        <v>227.32</v>
      </c>
      <c r="Y61" s="8">
        <v>487.83000000000004</v>
      </c>
      <c r="Z61" s="8">
        <v>177.83</v>
      </c>
      <c r="AA61" s="8">
        <v>19.690000000000001</v>
      </c>
      <c r="AB61" s="92">
        <v>39.71</v>
      </c>
      <c r="AC61" s="90">
        <f t="shared" si="2"/>
        <v>3749.57</v>
      </c>
    </row>
    <row r="62" spans="1:29" x14ac:dyDescent="0.25">
      <c r="A62" s="52">
        <v>2007</v>
      </c>
      <c r="B62" s="8">
        <v>67.22</v>
      </c>
      <c r="C62" s="8">
        <v>112.96999999999998</v>
      </c>
      <c r="D62" s="8">
        <v>240.20999999999995</v>
      </c>
      <c r="E62" s="8">
        <v>531.4</v>
      </c>
      <c r="F62" s="8">
        <v>403.38</v>
      </c>
      <c r="G62" s="8">
        <v>545.11999999999989</v>
      </c>
      <c r="H62" s="8">
        <v>408.58</v>
      </c>
      <c r="I62" s="92">
        <v>326.52</v>
      </c>
      <c r="J62" s="92" t="s">
        <v>13</v>
      </c>
      <c r="K62" s="92" t="s">
        <v>13</v>
      </c>
      <c r="L62" s="8">
        <v>30.679999999999996</v>
      </c>
      <c r="M62" s="8">
        <v>37.6</v>
      </c>
      <c r="N62" s="90">
        <f t="shared" si="0"/>
        <v>2703.6799999999994</v>
      </c>
      <c r="P62" s="52">
        <v>2007</v>
      </c>
      <c r="Q62" s="8">
        <v>84.15</v>
      </c>
      <c r="R62" s="8">
        <v>155.93999999999997</v>
      </c>
      <c r="S62" s="8">
        <v>310.69000000000005</v>
      </c>
      <c r="T62" s="8">
        <v>597.36</v>
      </c>
      <c r="U62" s="8">
        <v>486.14</v>
      </c>
      <c r="V62" s="8">
        <v>591.85</v>
      </c>
      <c r="W62" s="8">
        <v>430.63</v>
      </c>
      <c r="X62" s="8">
        <v>378.76</v>
      </c>
      <c r="Y62" s="8">
        <v>342.97999999999996</v>
      </c>
      <c r="Z62" s="8">
        <v>159.25</v>
      </c>
      <c r="AA62" s="8">
        <v>60.23</v>
      </c>
      <c r="AB62" s="8">
        <v>35.209999999999994</v>
      </c>
      <c r="AC62" s="4">
        <f t="shared" si="2"/>
        <v>3633.1899999999996</v>
      </c>
    </row>
    <row r="63" spans="1:29" x14ac:dyDescent="0.25">
      <c r="A63" s="52">
        <v>2008</v>
      </c>
      <c r="B63" s="8">
        <v>54.509999999999991</v>
      </c>
      <c r="C63" s="8">
        <v>101.13999999999999</v>
      </c>
      <c r="D63" s="92">
        <v>163.89</v>
      </c>
      <c r="E63" s="8">
        <v>317.50999999999993</v>
      </c>
      <c r="F63" s="8">
        <v>601.94999999999982</v>
      </c>
      <c r="G63" s="92">
        <v>581.34000000000015</v>
      </c>
      <c r="H63" s="8">
        <v>683.61999999999989</v>
      </c>
      <c r="I63" s="8">
        <v>301.84000000000003</v>
      </c>
      <c r="J63" s="8">
        <v>216.84000000000003</v>
      </c>
      <c r="K63" s="92">
        <v>196.99999999999997</v>
      </c>
      <c r="L63" s="92">
        <v>72.400000000000006</v>
      </c>
      <c r="M63" s="8">
        <v>33.29</v>
      </c>
      <c r="N63" s="90">
        <f t="shared" si="0"/>
        <v>3325.3300000000004</v>
      </c>
      <c r="P63" s="52">
        <v>2008</v>
      </c>
      <c r="Q63" s="8">
        <v>74.83</v>
      </c>
      <c r="R63" s="8">
        <v>97.800000000000011</v>
      </c>
      <c r="S63" s="8">
        <v>215.61999999999998</v>
      </c>
      <c r="T63" s="8">
        <v>370.27000000000004</v>
      </c>
      <c r="U63" s="8">
        <v>549.5200000000001</v>
      </c>
      <c r="V63" s="8">
        <v>681.80999999999983</v>
      </c>
      <c r="W63" s="8">
        <v>571.1</v>
      </c>
      <c r="X63" s="8">
        <v>373.07000000000005</v>
      </c>
      <c r="Y63" s="8">
        <v>229.8</v>
      </c>
      <c r="Z63" s="8">
        <v>104.50999999999999</v>
      </c>
      <c r="AA63" s="8">
        <v>77.77</v>
      </c>
      <c r="AB63" s="8">
        <v>26.24</v>
      </c>
      <c r="AC63" s="4">
        <f t="shared" si="2"/>
        <v>3372.3399999999997</v>
      </c>
    </row>
    <row r="64" spans="1:29" x14ac:dyDescent="0.25">
      <c r="A64" s="52">
        <v>2009</v>
      </c>
      <c r="B64" s="8">
        <v>64.63</v>
      </c>
      <c r="C64" s="8">
        <v>96.27</v>
      </c>
      <c r="D64" s="8">
        <v>177.85</v>
      </c>
      <c r="E64" s="8">
        <v>701.0899999999998</v>
      </c>
      <c r="F64" s="8">
        <v>640.32999999999993</v>
      </c>
      <c r="G64" s="8">
        <v>402.78999999999996</v>
      </c>
      <c r="H64" s="8">
        <v>585.41999999999996</v>
      </c>
      <c r="I64" s="8">
        <v>551.65999999999985</v>
      </c>
      <c r="J64" s="8">
        <v>340.71999999999997</v>
      </c>
      <c r="K64" s="92">
        <v>113.57000000000001</v>
      </c>
      <c r="L64" s="8">
        <v>49.699999999999989</v>
      </c>
      <c r="M64" s="8">
        <v>21.79</v>
      </c>
      <c r="N64" s="90">
        <f t="shared" si="0"/>
        <v>3745.8199999999993</v>
      </c>
      <c r="P64" s="52">
        <v>2009</v>
      </c>
      <c r="Q64" s="8">
        <v>81.470000000000027</v>
      </c>
      <c r="R64" s="8">
        <v>128.94999999999999</v>
      </c>
      <c r="S64" s="8">
        <v>134.77000000000001</v>
      </c>
      <c r="T64" s="8">
        <v>671.82999999999993</v>
      </c>
      <c r="U64" s="8">
        <v>568.08999999999992</v>
      </c>
      <c r="V64" s="8">
        <v>301.18</v>
      </c>
      <c r="W64" s="8">
        <v>487.67999999999995</v>
      </c>
      <c r="X64" s="8">
        <v>588.5</v>
      </c>
      <c r="Y64" s="8">
        <v>408.62999999999988</v>
      </c>
      <c r="Z64" s="8">
        <v>126.09000000000002</v>
      </c>
      <c r="AA64" s="8">
        <v>64.47</v>
      </c>
      <c r="AB64" s="8">
        <v>19.170000000000002</v>
      </c>
      <c r="AC64" s="4">
        <f t="shared" si="2"/>
        <v>3580.8299999999995</v>
      </c>
    </row>
    <row r="65" spans="1:29" x14ac:dyDescent="0.25">
      <c r="A65" s="52">
        <v>2010</v>
      </c>
      <c r="B65" s="8">
        <v>101.12999999999997</v>
      </c>
      <c r="C65" s="8">
        <v>59.520000000000032</v>
      </c>
      <c r="D65" s="8">
        <v>266.62000000000006</v>
      </c>
      <c r="E65" s="8">
        <v>462.97999999999996</v>
      </c>
      <c r="F65" s="92">
        <v>379</v>
      </c>
      <c r="G65" s="8">
        <v>567.47000000000014</v>
      </c>
      <c r="H65" s="8">
        <v>629.54000000000008</v>
      </c>
      <c r="I65" s="8">
        <v>430.16999999999996</v>
      </c>
      <c r="J65" s="8">
        <v>344.15999999999997</v>
      </c>
      <c r="K65" s="92">
        <v>313.84000000000003</v>
      </c>
      <c r="L65" s="92">
        <v>25.980000000000004</v>
      </c>
      <c r="M65" s="92">
        <v>34.169999999999995</v>
      </c>
      <c r="N65" s="90">
        <f t="shared" si="0"/>
        <v>3614.5800000000004</v>
      </c>
      <c r="P65" s="52">
        <v>2010</v>
      </c>
      <c r="Q65" s="8">
        <v>97.319999999999979</v>
      </c>
      <c r="R65" s="8">
        <v>48.63000000000001</v>
      </c>
      <c r="S65" s="8">
        <v>250.98000000000002</v>
      </c>
      <c r="T65" s="8">
        <v>368.51000000000005</v>
      </c>
      <c r="U65" s="8">
        <v>344.59999999999991</v>
      </c>
      <c r="V65" s="8">
        <v>504.78</v>
      </c>
      <c r="W65" s="8">
        <v>565.45000000000016</v>
      </c>
      <c r="X65" s="8">
        <v>373.89</v>
      </c>
      <c r="Y65" s="92">
        <v>244.25000000000003</v>
      </c>
      <c r="Z65" s="8">
        <v>340.21</v>
      </c>
      <c r="AA65" s="8">
        <v>47.269999999999996</v>
      </c>
      <c r="AB65" s="8">
        <v>33.690000000000005</v>
      </c>
      <c r="AC65" s="90">
        <f t="shared" si="2"/>
        <v>3219.58</v>
      </c>
    </row>
    <row r="66" spans="1:29" x14ac:dyDescent="0.25">
      <c r="A66" s="52">
        <v>2011</v>
      </c>
      <c r="B66" s="92">
        <v>41.809999999999995</v>
      </c>
      <c r="C66" s="8">
        <v>320.73</v>
      </c>
      <c r="D66" s="8">
        <v>393.58</v>
      </c>
      <c r="E66" s="8">
        <v>480.7600000000001</v>
      </c>
      <c r="F66" s="8">
        <v>549.35</v>
      </c>
      <c r="G66" s="8">
        <v>657.62</v>
      </c>
      <c r="H66" s="8">
        <v>298.91000000000003</v>
      </c>
      <c r="I66" s="8">
        <v>430.43999999999994</v>
      </c>
      <c r="J66" s="8">
        <v>326.02999999999997</v>
      </c>
      <c r="K66" s="8">
        <v>261.78000000000003</v>
      </c>
      <c r="L66" s="8">
        <v>109.11999999999999</v>
      </c>
      <c r="M66" s="8">
        <v>44.930000000000007</v>
      </c>
      <c r="N66" s="90">
        <f t="shared" si="0"/>
        <v>3915.0599999999995</v>
      </c>
      <c r="P66" s="52">
        <v>2011</v>
      </c>
      <c r="Q66" s="8">
        <v>31.05</v>
      </c>
      <c r="R66" s="8">
        <v>265.35999999999996</v>
      </c>
      <c r="S66" s="8">
        <v>406.16</v>
      </c>
      <c r="T66" s="8">
        <v>424.35</v>
      </c>
      <c r="U66" s="8">
        <v>475.38</v>
      </c>
      <c r="V66" s="8">
        <v>602.79999999999984</v>
      </c>
      <c r="W66" s="8">
        <v>382.70999999999992</v>
      </c>
      <c r="X66" s="8">
        <v>448.00000000000006</v>
      </c>
      <c r="Y66" s="92">
        <v>274.25</v>
      </c>
      <c r="Z66" s="8">
        <v>221.24999999999994</v>
      </c>
      <c r="AA66" s="8">
        <v>85.839999999999989</v>
      </c>
      <c r="AB66" s="8">
        <v>25.980000000000004</v>
      </c>
      <c r="AC66" s="90">
        <f t="shared" si="2"/>
        <v>3643.13</v>
      </c>
    </row>
    <row r="67" spans="1:29" x14ac:dyDescent="0.25">
      <c r="A67" s="52">
        <v>2012</v>
      </c>
      <c r="B67" s="8">
        <v>75.849999999999994</v>
      </c>
      <c r="C67" s="8">
        <v>210.85000000000002</v>
      </c>
      <c r="D67" s="8">
        <v>348.88</v>
      </c>
      <c r="E67" s="8">
        <v>441.26999999999992</v>
      </c>
      <c r="F67" s="8">
        <v>660.21999999999991</v>
      </c>
      <c r="G67" s="8">
        <v>450.37000000000006</v>
      </c>
      <c r="H67" s="8">
        <v>510.94000000000005</v>
      </c>
      <c r="I67" s="8">
        <v>340.35000000000008</v>
      </c>
      <c r="J67" s="92" t="s">
        <v>13</v>
      </c>
      <c r="K67" s="92">
        <v>149.79</v>
      </c>
      <c r="L67" s="8">
        <v>53.27</v>
      </c>
      <c r="M67" s="8">
        <v>46.290000000000013</v>
      </c>
      <c r="N67" s="90">
        <f t="shared" si="0"/>
        <v>3288.0799999999995</v>
      </c>
      <c r="P67" s="52">
        <v>2012</v>
      </c>
      <c r="Q67" s="8">
        <v>72.22999999999999</v>
      </c>
      <c r="R67" s="8">
        <v>158.55000000000001</v>
      </c>
      <c r="S67" s="8">
        <v>219.25</v>
      </c>
      <c r="T67" s="8">
        <v>489.82000000000005</v>
      </c>
      <c r="U67" s="8">
        <v>683.63</v>
      </c>
      <c r="V67" s="8">
        <v>388.51000000000005</v>
      </c>
      <c r="W67" s="8">
        <v>517.57000000000005</v>
      </c>
      <c r="X67" s="8">
        <v>360.40000000000003</v>
      </c>
      <c r="Y67" s="92">
        <v>255.58</v>
      </c>
      <c r="Z67" s="8">
        <v>162.64000000000001</v>
      </c>
      <c r="AA67" s="8">
        <v>30.799999999999994</v>
      </c>
      <c r="AB67" s="8">
        <v>55.800000000000011</v>
      </c>
      <c r="AC67" s="90">
        <f t="shared" si="2"/>
        <v>3394.78</v>
      </c>
    </row>
    <row r="68" spans="1:29" x14ac:dyDescent="0.25">
      <c r="A68" s="52">
        <v>2013</v>
      </c>
      <c r="B68" s="8">
        <v>63.010000000000005</v>
      </c>
      <c r="C68" s="8">
        <v>36.180000000000007</v>
      </c>
      <c r="D68" s="8">
        <v>490.03000000000009</v>
      </c>
      <c r="E68" s="8">
        <v>426.93999999999994</v>
      </c>
      <c r="F68" s="92">
        <v>509.25999999999993</v>
      </c>
      <c r="G68" s="92">
        <v>425.94</v>
      </c>
      <c r="H68" s="92" t="s">
        <v>13</v>
      </c>
      <c r="I68" s="92">
        <v>439.33999999999992</v>
      </c>
      <c r="J68" s="92">
        <v>157.78000000000003</v>
      </c>
      <c r="K68" s="92" t="s">
        <v>13</v>
      </c>
      <c r="L68" s="92" t="s">
        <v>13</v>
      </c>
      <c r="M68" s="92">
        <v>23.52</v>
      </c>
      <c r="N68" s="90">
        <f t="shared" si="0"/>
        <v>2572</v>
      </c>
      <c r="P68" s="52">
        <v>2013</v>
      </c>
      <c r="Q68" s="92">
        <v>50.730000000000004</v>
      </c>
      <c r="R68" s="8">
        <v>46.679999999999993</v>
      </c>
      <c r="S68" s="8">
        <v>444.4</v>
      </c>
      <c r="T68" s="8">
        <v>407.91999999999996</v>
      </c>
      <c r="U68" s="8">
        <v>561.09</v>
      </c>
      <c r="V68" s="8">
        <v>552.83999999999992</v>
      </c>
      <c r="W68" s="8">
        <v>406.05999999999995</v>
      </c>
      <c r="X68" s="8">
        <v>535.20000000000005</v>
      </c>
      <c r="Y68" s="8">
        <v>290.80999999999995</v>
      </c>
      <c r="Z68" s="8">
        <v>120.60999999999997</v>
      </c>
      <c r="AA68" s="8">
        <v>41.879999999999995</v>
      </c>
      <c r="AB68" s="8">
        <v>65.420000000000016</v>
      </c>
      <c r="AC68" s="90">
        <f t="shared" si="2"/>
        <v>3523.6400000000003</v>
      </c>
    </row>
    <row r="69" spans="1:29" x14ac:dyDescent="0.25">
      <c r="A69" s="52">
        <v>2014</v>
      </c>
      <c r="B69" s="8">
        <v>148.00999999999996</v>
      </c>
      <c r="C69" s="8">
        <v>125.56</v>
      </c>
      <c r="D69" s="8">
        <v>309.78999999999996</v>
      </c>
      <c r="E69" s="92">
        <v>623.71</v>
      </c>
      <c r="F69" s="8">
        <v>629.47</v>
      </c>
      <c r="G69" s="8">
        <v>514.63000000000011</v>
      </c>
      <c r="H69" s="92">
        <v>757.52999999999986</v>
      </c>
      <c r="I69" s="92">
        <v>416.65999999999997</v>
      </c>
      <c r="J69" s="8">
        <v>455.00000000000006</v>
      </c>
      <c r="K69" s="8">
        <v>205.78</v>
      </c>
      <c r="L69" s="92">
        <v>25.67</v>
      </c>
      <c r="M69" s="8">
        <v>34.44</v>
      </c>
      <c r="N69" s="90">
        <f t="shared" si="0"/>
        <v>4246.2499999999991</v>
      </c>
      <c r="P69" s="52">
        <v>2014</v>
      </c>
      <c r="Q69" s="8">
        <v>140.30000000000001</v>
      </c>
      <c r="R69" s="8">
        <v>104.21000000000001</v>
      </c>
      <c r="S69" s="8">
        <v>271.62000000000006</v>
      </c>
      <c r="T69" s="8">
        <v>548.00000000000011</v>
      </c>
      <c r="U69" s="8">
        <v>472.7999999999999</v>
      </c>
      <c r="V69" s="8">
        <v>394.64999999999992</v>
      </c>
      <c r="W69" s="8">
        <v>661.68</v>
      </c>
      <c r="X69" s="8">
        <v>365.67999999999995</v>
      </c>
      <c r="Y69" s="8">
        <v>417.20999999999992</v>
      </c>
      <c r="Z69" s="8">
        <v>276.26</v>
      </c>
      <c r="AA69" s="8">
        <v>52.26</v>
      </c>
      <c r="AB69" s="8">
        <v>68.320000000000007</v>
      </c>
      <c r="AC69" s="4">
        <f t="shared" si="2"/>
        <v>3772.9900000000002</v>
      </c>
    </row>
    <row r="70" spans="1:29" x14ac:dyDescent="0.25">
      <c r="A70" s="52">
        <v>2015</v>
      </c>
      <c r="B70" s="8">
        <v>46.129999999999995</v>
      </c>
      <c r="C70" s="8">
        <v>109.19000000000003</v>
      </c>
      <c r="D70" s="8">
        <v>292.53000000000009</v>
      </c>
      <c r="E70" s="8">
        <v>429.54999999999995</v>
      </c>
      <c r="F70" s="8">
        <v>594.74</v>
      </c>
      <c r="G70" s="92">
        <v>686.76999999999975</v>
      </c>
      <c r="H70" s="8">
        <v>527.36999999999978</v>
      </c>
      <c r="I70" s="8">
        <v>652.70000000000016</v>
      </c>
      <c r="J70" s="8">
        <v>377.81</v>
      </c>
      <c r="K70" s="8">
        <v>358.1</v>
      </c>
      <c r="L70" s="8">
        <v>72.61999999999999</v>
      </c>
      <c r="M70" s="8">
        <v>89.15</v>
      </c>
      <c r="N70" s="90">
        <f t="shared" si="0"/>
        <v>4236.66</v>
      </c>
      <c r="P70" s="52">
        <v>2015</v>
      </c>
      <c r="Q70" s="8">
        <v>50.680000000000007</v>
      </c>
      <c r="R70" s="8">
        <v>127.69000000000001</v>
      </c>
      <c r="S70" s="8">
        <v>257.57</v>
      </c>
      <c r="T70" s="8">
        <v>366.87</v>
      </c>
      <c r="U70" s="8">
        <v>456.16999999999996</v>
      </c>
      <c r="V70" s="8">
        <v>679.49999999999977</v>
      </c>
      <c r="W70" s="8">
        <v>565.36</v>
      </c>
      <c r="X70" s="8">
        <v>781.3</v>
      </c>
      <c r="Y70" s="8">
        <v>299.18</v>
      </c>
      <c r="Z70" s="8">
        <v>315.38000000000005</v>
      </c>
      <c r="AA70" s="8">
        <v>38.92</v>
      </c>
      <c r="AB70" s="8">
        <v>88.17</v>
      </c>
      <c r="AC70" s="4">
        <f t="shared" si="2"/>
        <v>4026.7899999999995</v>
      </c>
    </row>
    <row r="71" spans="1:29" x14ac:dyDescent="0.25">
      <c r="A71" s="52">
        <v>2016</v>
      </c>
      <c r="B71" s="8">
        <v>113.05</v>
      </c>
      <c r="C71" s="8">
        <v>122</v>
      </c>
      <c r="D71" s="8">
        <v>175.38</v>
      </c>
      <c r="E71" s="92">
        <v>203.88</v>
      </c>
      <c r="F71" s="8">
        <v>616.93999999999994</v>
      </c>
      <c r="G71" s="92">
        <v>650.09000000000015</v>
      </c>
      <c r="H71" s="8">
        <v>466.16999999999996</v>
      </c>
      <c r="I71" s="8">
        <v>377.6699999999999</v>
      </c>
      <c r="J71" s="8">
        <v>471.83000000000004</v>
      </c>
      <c r="K71" s="92">
        <v>134.91</v>
      </c>
      <c r="L71" s="92">
        <v>27.840000000000003</v>
      </c>
      <c r="M71" s="8">
        <v>47.79</v>
      </c>
      <c r="N71" s="90">
        <f t="shared" si="0"/>
        <v>3407.55</v>
      </c>
      <c r="P71" s="52">
        <v>2016</v>
      </c>
      <c r="Q71" s="8">
        <v>93.16</v>
      </c>
      <c r="R71" s="8">
        <v>71.89</v>
      </c>
      <c r="S71" s="8">
        <v>187.98</v>
      </c>
      <c r="T71" s="8">
        <v>272.68</v>
      </c>
      <c r="U71" s="8">
        <v>728.82999999999993</v>
      </c>
      <c r="V71" s="8">
        <v>638.87</v>
      </c>
      <c r="W71" s="8">
        <v>369.84999999999997</v>
      </c>
      <c r="X71" s="8">
        <v>408.14</v>
      </c>
      <c r="Y71" s="8">
        <v>361.98000000000008</v>
      </c>
      <c r="Z71" s="92">
        <v>140.38999999999999</v>
      </c>
      <c r="AA71" s="8">
        <v>36.470000000000006</v>
      </c>
      <c r="AB71" s="8">
        <v>38.39</v>
      </c>
      <c r="AC71" s="90">
        <f t="shared" si="2"/>
        <v>3348.6299999999992</v>
      </c>
    </row>
    <row r="72" spans="1:29" x14ac:dyDescent="0.25">
      <c r="A72" s="52">
        <v>2017</v>
      </c>
      <c r="B72" s="8">
        <v>67.210000000000008</v>
      </c>
      <c r="C72" s="8">
        <v>80.19</v>
      </c>
      <c r="D72" s="8">
        <v>333.24</v>
      </c>
      <c r="E72" s="8">
        <v>362.10999999999996</v>
      </c>
      <c r="F72" s="8">
        <v>781.05000000000007</v>
      </c>
      <c r="G72" s="8">
        <v>596.98</v>
      </c>
      <c r="H72" s="8">
        <v>482.27</v>
      </c>
      <c r="I72" s="8">
        <v>499.65000000000009</v>
      </c>
      <c r="J72" s="8">
        <v>291.24</v>
      </c>
      <c r="K72" s="8">
        <v>154.35000000000002</v>
      </c>
      <c r="L72" s="8">
        <v>60.399999999999991</v>
      </c>
      <c r="M72" s="92">
        <v>28.58</v>
      </c>
      <c r="N72" s="90">
        <f t="shared" si="0"/>
        <v>3737.2700000000004</v>
      </c>
      <c r="P72" s="52">
        <v>2017</v>
      </c>
      <c r="Q72" s="8">
        <v>74.109999999999985</v>
      </c>
      <c r="R72" s="8">
        <v>71.430000000000007</v>
      </c>
      <c r="S72" s="8">
        <v>179.29000000000002</v>
      </c>
      <c r="T72" s="8">
        <v>254.35</v>
      </c>
      <c r="U72" s="8">
        <v>718.46999999999991</v>
      </c>
      <c r="V72" s="8">
        <v>482.15000000000003</v>
      </c>
      <c r="W72" s="8">
        <v>496.21</v>
      </c>
      <c r="X72" s="8">
        <v>458.79999999999995</v>
      </c>
      <c r="Y72" s="92">
        <v>221.24</v>
      </c>
      <c r="Z72" s="8">
        <v>120.91</v>
      </c>
      <c r="AA72" s="8">
        <v>16.96</v>
      </c>
      <c r="AB72" s="8">
        <v>34.849999999999994</v>
      </c>
      <c r="AC72" s="90">
        <f t="shared" si="2"/>
        <v>3128.77</v>
      </c>
    </row>
    <row r="73" spans="1:29" x14ac:dyDescent="0.25">
      <c r="A73" s="52">
        <v>2018</v>
      </c>
      <c r="B73" s="8">
        <v>24.359999999999996</v>
      </c>
      <c r="C73" s="8">
        <v>170.16000000000003</v>
      </c>
      <c r="D73" s="8">
        <v>123</v>
      </c>
      <c r="E73" s="92">
        <v>177.67999999999998</v>
      </c>
      <c r="F73" s="92" t="s">
        <v>13</v>
      </c>
      <c r="G73" s="92" t="s">
        <v>13</v>
      </c>
      <c r="H73" s="92" t="s">
        <v>13</v>
      </c>
      <c r="I73" s="92" t="s">
        <v>13</v>
      </c>
      <c r="J73" s="92" t="s">
        <v>13</v>
      </c>
      <c r="K73" s="92" t="s">
        <v>13</v>
      </c>
      <c r="L73" s="8">
        <v>49.800000000000004</v>
      </c>
      <c r="M73" s="8">
        <v>27.72</v>
      </c>
      <c r="N73" s="90">
        <f>SUM(B73:M73)</f>
        <v>572.71999999999991</v>
      </c>
      <c r="P73" s="52">
        <v>2018</v>
      </c>
      <c r="Q73" s="8">
        <v>51.940000000000012</v>
      </c>
      <c r="R73" s="92">
        <v>101.26</v>
      </c>
      <c r="S73" s="92">
        <v>162.32</v>
      </c>
      <c r="T73" s="92" t="s">
        <v>13</v>
      </c>
      <c r="U73" s="92" t="s">
        <v>13</v>
      </c>
      <c r="V73" s="92" t="s">
        <v>13</v>
      </c>
      <c r="W73" s="92" t="s">
        <v>13</v>
      </c>
      <c r="X73" s="8">
        <v>561.9899999999999</v>
      </c>
      <c r="Y73" s="8">
        <v>295.74999999999994</v>
      </c>
      <c r="Z73" s="8">
        <v>298.42999999999995</v>
      </c>
      <c r="AA73" s="8">
        <v>39.32</v>
      </c>
      <c r="AB73" s="8">
        <v>12.790000000000001</v>
      </c>
      <c r="AC73" s="90">
        <f t="shared" si="2"/>
        <v>1523.7999999999995</v>
      </c>
    </row>
    <row r="74" spans="1:29" x14ac:dyDescent="0.25">
      <c r="A74" s="52">
        <v>2019</v>
      </c>
      <c r="B74" s="9">
        <v>75.040000000000006</v>
      </c>
      <c r="C74" s="9">
        <v>163.26</v>
      </c>
      <c r="D74" s="9">
        <v>188.89999999999998</v>
      </c>
      <c r="E74" s="9">
        <v>731.1600000000002</v>
      </c>
      <c r="F74" s="9">
        <v>470.89000000000004</v>
      </c>
      <c r="G74" s="9">
        <v>680.73</v>
      </c>
      <c r="H74" s="9">
        <v>620.26</v>
      </c>
      <c r="I74" s="9">
        <v>547.55000000000007</v>
      </c>
      <c r="J74" s="9">
        <v>317.6699999999999</v>
      </c>
      <c r="K74" s="9">
        <v>152.72999999999999</v>
      </c>
      <c r="L74" s="135">
        <v>3.78</v>
      </c>
      <c r="M74" s="135" t="s">
        <v>13</v>
      </c>
      <c r="N74" s="90">
        <f t="shared" si="0"/>
        <v>3951.9700000000012</v>
      </c>
      <c r="P74" s="52">
        <v>2019</v>
      </c>
      <c r="Q74" s="8">
        <v>28.599999999999994</v>
      </c>
      <c r="R74" s="8">
        <v>109.27000000000001</v>
      </c>
      <c r="S74" s="8">
        <v>142.66999999999996</v>
      </c>
      <c r="T74" s="92">
        <v>104.88999999999999</v>
      </c>
      <c r="U74" s="92" t="s">
        <v>13</v>
      </c>
      <c r="V74" s="92" t="s">
        <v>13</v>
      </c>
      <c r="W74" s="92" t="s">
        <v>13</v>
      </c>
      <c r="X74" s="92" t="s">
        <v>13</v>
      </c>
      <c r="Y74" s="92" t="s">
        <v>13</v>
      </c>
      <c r="Z74" s="8">
        <v>183.57999999999998</v>
      </c>
      <c r="AA74" s="8">
        <v>3.9</v>
      </c>
      <c r="AB74" s="92" t="s">
        <v>13</v>
      </c>
      <c r="AC74" s="90">
        <f t="shared" si="2"/>
        <v>572.91</v>
      </c>
    </row>
    <row r="75" spans="1:29" x14ac:dyDescent="0.25">
      <c r="A75" s="52">
        <v>2020</v>
      </c>
      <c r="B75" s="136" t="s">
        <v>13</v>
      </c>
      <c r="C75" s="10">
        <v>85.740000000000009</v>
      </c>
      <c r="D75" s="10">
        <v>397.63000000000005</v>
      </c>
      <c r="E75" s="136">
        <v>329.69000000000005</v>
      </c>
      <c r="F75" s="10">
        <v>695.08000000000015</v>
      </c>
      <c r="G75" s="10">
        <v>516.5200000000001</v>
      </c>
      <c r="H75" s="10">
        <v>516.56999999999994</v>
      </c>
      <c r="I75" s="10">
        <v>481.78</v>
      </c>
      <c r="J75" s="10">
        <v>384.27000000000015</v>
      </c>
      <c r="K75" s="10">
        <v>118.34000000000002</v>
      </c>
      <c r="L75" s="136">
        <v>20.990000000000002</v>
      </c>
      <c r="M75" s="136" t="s">
        <v>13</v>
      </c>
      <c r="N75" s="90">
        <f>SUM(B75:M75)</f>
        <v>3546.61</v>
      </c>
      <c r="P75" s="52">
        <v>2020</v>
      </c>
      <c r="Q75" s="93" t="s">
        <v>13</v>
      </c>
      <c r="R75" s="94">
        <v>113.78</v>
      </c>
      <c r="S75" s="94">
        <v>411.94000000000005</v>
      </c>
      <c r="T75" s="94">
        <v>495.19999999999993</v>
      </c>
      <c r="U75" s="94">
        <v>572.86</v>
      </c>
      <c r="V75" s="94">
        <v>595.95999999999992</v>
      </c>
      <c r="W75" s="94">
        <v>537.94000000000005</v>
      </c>
      <c r="X75" s="94">
        <v>595.49999999999989</v>
      </c>
      <c r="Y75" s="94">
        <v>414.87</v>
      </c>
      <c r="Z75" s="94">
        <v>94.060000000000031</v>
      </c>
      <c r="AA75" s="94">
        <v>47.81</v>
      </c>
      <c r="AB75" s="94">
        <v>45.430000000000007</v>
      </c>
      <c r="AC75" s="90">
        <f t="shared" si="2"/>
        <v>3925.3499999999995</v>
      </c>
    </row>
    <row r="76" spans="1:29" x14ac:dyDescent="0.25">
      <c r="A76" s="52">
        <v>2021</v>
      </c>
      <c r="B76" s="136" t="s">
        <v>13</v>
      </c>
      <c r="C76" s="4">
        <v>174.49</v>
      </c>
      <c r="D76" s="4">
        <v>248.91</v>
      </c>
      <c r="E76" s="4">
        <v>350.31</v>
      </c>
      <c r="F76" s="4">
        <v>603.58000000000004</v>
      </c>
      <c r="G76" s="4">
        <v>830.1</v>
      </c>
      <c r="H76" s="4">
        <v>651.88</v>
      </c>
      <c r="I76" s="4">
        <v>386.67</v>
      </c>
      <c r="J76" s="4">
        <v>424.3</v>
      </c>
      <c r="K76" s="4">
        <v>284.44</v>
      </c>
      <c r="L76" s="4">
        <v>103.45</v>
      </c>
      <c r="M76" s="4">
        <v>79.84</v>
      </c>
      <c r="N76" s="90">
        <f t="shared" si="0"/>
        <v>4137.97</v>
      </c>
      <c r="P76" s="52">
        <v>2021</v>
      </c>
      <c r="Q76" s="4">
        <v>38.770000000000003</v>
      </c>
      <c r="R76" s="4">
        <v>181.56</v>
      </c>
      <c r="S76" s="4">
        <v>268.57000000000005</v>
      </c>
      <c r="T76" s="4">
        <v>292.52000000000004</v>
      </c>
      <c r="U76" s="4">
        <v>495.45000000000005</v>
      </c>
      <c r="V76" s="4">
        <v>745.31299999999999</v>
      </c>
      <c r="W76" s="4">
        <v>590.08000000000004</v>
      </c>
      <c r="X76" s="90">
        <v>249.52</v>
      </c>
      <c r="Y76" s="4">
        <v>310.51</v>
      </c>
      <c r="Z76" s="4">
        <v>301.20999999999992</v>
      </c>
      <c r="AA76" s="4">
        <v>89.750000000000014</v>
      </c>
      <c r="AB76" s="90">
        <v>49.97</v>
      </c>
      <c r="AC76" s="90">
        <f t="shared" si="2"/>
        <v>3613.2229999999995</v>
      </c>
    </row>
    <row r="77" spans="1:29" x14ac:dyDescent="0.25">
      <c r="A77" s="52">
        <v>2022</v>
      </c>
      <c r="B77" s="4">
        <v>71.13</v>
      </c>
      <c r="C77" s="4">
        <v>134.25</v>
      </c>
      <c r="D77" s="4">
        <v>618.17999999999995</v>
      </c>
      <c r="E77" s="4">
        <v>512.87</v>
      </c>
      <c r="F77" s="4">
        <v>589.95000000000005</v>
      </c>
      <c r="G77" s="90">
        <v>607.86</v>
      </c>
      <c r="H77" s="4">
        <v>503.47</v>
      </c>
      <c r="I77" s="4">
        <v>578.36</v>
      </c>
      <c r="J77" s="4">
        <v>384.55</v>
      </c>
      <c r="K77" s="4">
        <v>217.97</v>
      </c>
      <c r="L77" s="4">
        <v>43.73</v>
      </c>
      <c r="M77" s="4">
        <v>39.53</v>
      </c>
      <c r="N77" s="90">
        <f>SUM(B77:M77)</f>
        <v>4301.8499999999995</v>
      </c>
      <c r="P77" s="52">
        <v>2022</v>
      </c>
      <c r="Q77" s="90">
        <v>65.180000000000007</v>
      </c>
      <c r="R77" s="4">
        <v>140.20000000000002</v>
      </c>
      <c r="S77" s="4">
        <v>587.02</v>
      </c>
      <c r="T77" s="4">
        <v>422.31000000000006</v>
      </c>
      <c r="U77" s="4">
        <v>462.5</v>
      </c>
      <c r="V77" s="4">
        <v>547.57000000000005</v>
      </c>
      <c r="W77" s="4">
        <v>539.04999999999995</v>
      </c>
      <c r="X77" s="4">
        <v>665.70000000000016</v>
      </c>
      <c r="Y77" s="4">
        <v>321.02</v>
      </c>
      <c r="Z77" s="95">
        <v>180.84</v>
      </c>
      <c r="AA77" s="2">
        <v>9.31</v>
      </c>
      <c r="AB77" s="4">
        <v>29.6</v>
      </c>
      <c r="AC77" s="90">
        <f>SUM(Q77:AB77)</f>
        <v>3970.3</v>
      </c>
    </row>
    <row r="78" spans="1:29" x14ac:dyDescent="0.25">
      <c r="A78" s="52">
        <v>2023</v>
      </c>
      <c r="B78" s="4">
        <v>25.68</v>
      </c>
      <c r="C78" s="4">
        <v>156.44999999999999</v>
      </c>
      <c r="D78" s="4">
        <v>228.65</v>
      </c>
      <c r="E78" s="4">
        <v>406.44</v>
      </c>
      <c r="F78" s="4">
        <v>798.32</v>
      </c>
      <c r="G78" s="4">
        <v>689.66</v>
      </c>
      <c r="H78" s="4">
        <v>566.73</v>
      </c>
      <c r="I78" s="4">
        <v>412.56</v>
      </c>
      <c r="J78" s="4">
        <v>478.19</v>
      </c>
      <c r="K78" s="4">
        <v>145.25</v>
      </c>
      <c r="L78" s="90">
        <v>77.540000000000006</v>
      </c>
      <c r="M78" s="4">
        <v>14.33</v>
      </c>
      <c r="N78" s="90">
        <f>SUM(B78:M78)</f>
        <v>3999.7999999999997</v>
      </c>
      <c r="P78" s="52">
        <v>2023</v>
      </c>
      <c r="Q78" s="2">
        <v>17.239999999999998</v>
      </c>
      <c r="R78" s="4">
        <v>95.6</v>
      </c>
      <c r="S78" s="2">
        <v>233.04</v>
      </c>
      <c r="T78" s="2">
        <v>397.02</v>
      </c>
      <c r="U78" s="2">
        <v>768.84</v>
      </c>
      <c r="V78" s="2">
        <v>645.12</v>
      </c>
      <c r="W78" s="2">
        <v>554.34</v>
      </c>
      <c r="X78" s="2">
        <v>405.79</v>
      </c>
      <c r="Y78" s="2">
        <v>552.25</v>
      </c>
      <c r="Z78" s="2">
        <v>157.74</v>
      </c>
      <c r="AA78" s="2">
        <v>61.62</v>
      </c>
      <c r="AB78" s="2">
        <v>14.23</v>
      </c>
      <c r="AC78" s="4">
        <f>SUM(Q78:AB78)</f>
        <v>3902.8300000000004</v>
      </c>
    </row>
    <row r="79" spans="1:29" x14ac:dyDescent="0.25">
      <c r="A79" s="52">
        <v>2024</v>
      </c>
      <c r="B79" s="2">
        <v>54.59</v>
      </c>
      <c r="C79" s="2">
        <v>57.15</v>
      </c>
      <c r="D79" s="2">
        <v>226.52</v>
      </c>
      <c r="E79" s="2">
        <v>267.33999999999997</v>
      </c>
      <c r="F79" s="2">
        <v>818.17</v>
      </c>
      <c r="G79" s="2">
        <v>651.44000000000005</v>
      </c>
      <c r="H79" s="4">
        <v>568.70000000000005</v>
      </c>
      <c r="I79" s="2">
        <v>633.75</v>
      </c>
      <c r="J79" s="2">
        <v>490.77</v>
      </c>
      <c r="K79" s="2">
        <v>257.22000000000003</v>
      </c>
      <c r="L79" s="2">
        <v>52.05</v>
      </c>
      <c r="M79" s="2">
        <v>34.39</v>
      </c>
      <c r="N79" s="2">
        <f>SUM(B79:M79)</f>
        <v>4112.09</v>
      </c>
      <c r="P79" s="52">
        <v>2024</v>
      </c>
      <c r="Q79" s="2">
        <v>69.95</v>
      </c>
      <c r="R79" s="2">
        <v>51.18</v>
      </c>
      <c r="S79" s="2">
        <v>260.58</v>
      </c>
      <c r="T79" s="2">
        <v>246.47</v>
      </c>
      <c r="U79" s="4">
        <v>735.6</v>
      </c>
      <c r="V79" s="2">
        <v>608.48</v>
      </c>
      <c r="W79" s="2">
        <v>478.51</v>
      </c>
      <c r="X79" s="2">
        <v>563.39</v>
      </c>
      <c r="Y79" s="2">
        <v>472.34</v>
      </c>
      <c r="Z79" s="4">
        <v>232.1</v>
      </c>
      <c r="AA79" s="2">
        <v>45.36</v>
      </c>
      <c r="AB79" s="2">
        <v>24.81</v>
      </c>
      <c r="AC79" s="4">
        <f>SUM(Q79:AB79)</f>
        <v>3788.77</v>
      </c>
    </row>
    <row r="80" spans="1:29" x14ac:dyDescent="0.25">
      <c r="A80" s="52">
        <v>2025</v>
      </c>
      <c r="B80" s="2">
        <v>31.74</v>
      </c>
      <c r="C80" s="2">
        <v>180.59</v>
      </c>
      <c r="D80" s="2">
        <v>373.76</v>
      </c>
      <c r="E80" s="2">
        <v>523.02</v>
      </c>
      <c r="F80" s="4">
        <v>581.6</v>
      </c>
      <c r="G80" s="2">
        <v>517.62</v>
      </c>
      <c r="H80" s="2">
        <v>448.44</v>
      </c>
      <c r="I80" s="2">
        <v>436.38</v>
      </c>
      <c r="J80" s="2">
        <v>397.54</v>
      </c>
      <c r="K80" s="2">
        <v>244.12</v>
      </c>
      <c r="L80" s="2">
        <v>60.73</v>
      </c>
      <c r="M80" s="95">
        <v>33.25</v>
      </c>
      <c r="N80" s="95">
        <f>SUM(B80:M80)</f>
        <v>3828.79</v>
      </c>
      <c r="P80" s="52">
        <v>2025</v>
      </c>
      <c r="Q80" s="2">
        <v>26.65</v>
      </c>
      <c r="R80" s="2">
        <v>174.12</v>
      </c>
      <c r="S80" s="2">
        <v>362.92</v>
      </c>
      <c r="T80" s="2">
        <v>501.29</v>
      </c>
      <c r="U80" s="2">
        <v>423.69</v>
      </c>
      <c r="V80" s="2">
        <v>443.68</v>
      </c>
      <c r="W80" s="2">
        <v>459.97</v>
      </c>
      <c r="X80" s="95">
        <v>423.12</v>
      </c>
      <c r="Y80" s="2">
        <v>378.23</v>
      </c>
      <c r="Z80" s="4">
        <v>214.8</v>
      </c>
      <c r="AA80" s="4">
        <v>56.9</v>
      </c>
      <c r="AB80" s="2">
        <v>45.54</v>
      </c>
      <c r="AC80" s="90">
        <f>SUM(Q80:AB80)</f>
        <v>3510.9100000000003</v>
      </c>
    </row>
    <row r="84" spans="1:29" x14ac:dyDescent="0.25">
      <c r="A84" s="160" t="s">
        <v>29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  <c r="P84" s="160" t="s">
        <v>29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2"/>
    </row>
    <row r="85" spans="1:29" x14ac:dyDescent="0.25">
      <c r="A85" s="51"/>
      <c r="B85" s="52" t="s">
        <v>1</v>
      </c>
      <c r="C85" s="52" t="s">
        <v>2</v>
      </c>
      <c r="D85" s="52" t="s">
        <v>3</v>
      </c>
      <c r="E85" s="52" t="s">
        <v>4</v>
      </c>
      <c r="F85" s="52" t="s">
        <v>5</v>
      </c>
      <c r="G85" s="52" t="s">
        <v>6</v>
      </c>
      <c r="H85" s="52" t="s">
        <v>7</v>
      </c>
      <c r="I85" s="52" t="s">
        <v>8</v>
      </c>
      <c r="J85" s="52" t="s">
        <v>9</v>
      </c>
      <c r="K85" s="52" t="s">
        <v>10</v>
      </c>
      <c r="L85" s="52" t="s">
        <v>11</v>
      </c>
      <c r="M85" s="52" t="s">
        <v>12</v>
      </c>
      <c r="N85" s="52" t="s">
        <v>25</v>
      </c>
      <c r="P85" s="51"/>
      <c r="Q85" s="52" t="s">
        <v>1</v>
      </c>
      <c r="R85" s="52" t="s">
        <v>2</v>
      </c>
      <c r="S85" s="52" t="s">
        <v>3</v>
      </c>
      <c r="T85" s="52" t="s">
        <v>4</v>
      </c>
      <c r="U85" s="52" t="s">
        <v>5</v>
      </c>
      <c r="V85" s="52" t="s">
        <v>6</v>
      </c>
      <c r="W85" s="52" t="s">
        <v>7</v>
      </c>
      <c r="X85" s="52" t="s">
        <v>8</v>
      </c>
      <c r="Y85" s="52" t="s">
        <v>9</v>
      </c>
      <c r="Z85" s="52" t="s">
        <v>10</v>
      </c>
      <c r="AA85" s="52" t="s">
        <v>11</v>
      </c>
      <c r="AB85" s="52" t="s">
        <v>12</v>
      </c>
      <c r="AC85" s="52" t="s">
        <v>25</v>
      </c>
    </row>
    <row r="86" spans="1:29" x14ac:dyDescent="0.25">
      <c r="A86" s="53" t="s">
        <v>23</v>
      </c>
      <c r="B86" s="56">
        <f>MAX(B19:B38,B40:B46,B48:B51,B54,B56:B57,B61:B65,B67:B74,B77:B80)</f>
        <v>148.00999999999996</v>
      </c>
      <c r="C86" s="56">
        <f>MAX(C19:C38,C40:C51,C53:C54,C56:C57,C61:C80)</f>
        <v>320.73</v>
      </c>
      <c r="D86" s="56">
        <f>MAX(D19:D38,D40:D53,D55:D57,D61:D62,D64:D80)</f>
        <v>618.17999999999995</v>
      </c>
      <c r="E86" s="56">
        <f>MAX(E19:E38,E40:E41,E44:E49,E51:E56,E62:E68,E70,E72,E74,E76:E80)</f>
        <v>731.1600000000002</v>
      </c>
      <c r="F86" s="56">
        <f>MAX(F19:F38,F40:F41,F44:F45,F47:F49,F52,F54,F56,F62:F64,F66:F67,F69:F72,F74:F80)</f>
        <v>818.17</v>
      </c>
      <c r="G86" s="56">
        <f>MAX(G19:G38,G41,G43:G45,G47:G49,G51,G53,G56:G57,G62,G64:G67,G69,G72,G74:G76,G78:G80)</f>
        <v>830.1</v>
      </c>
      <c r="H86" s="56">
        <f>MAX(H19:H38,H41,H43:H49,H51,H55:H57,H62:H67,H70:H72,H74:H80)</f>
        <v>1105.6800000000003</v>
      </c>
      <c r="I86" s="56">
        <f>MAX(I19:I49,I51:I52,I55:I57,I61,I63:I67,I70:I72,I74:I80)</f>
        <v>652.70000000000016</v>
      </c>
      <c r="J86" s="56">
        <f>MAX(J19:J41,J43:J49,J51:J54,J57,J74:J80,J61,J63:J66,J69:J72)</f>
        <v>490.77</v>
      </c>
      <c r="K86" s="56">
        <f>MAX(K19:K50,K53:K57,K60:K61,K66,K69:K70,K72,K74:K80)</f>
        <v>358.1</v>
      </c>
      <c r="L86" s="56">
        <f>MAX(L19:L48,L54:L56,L50,L60:L62,L64,L66:L67,L70,L72:L73,L76:L77,L79:L80)</f>
        <v>133.94000000000003</v>
      </c>
      <c r="M86" s="56">
        <f>MAX(M19:M40,M43:M48,M50,M53,M55,M57,M60:M64,M66:M67,M69:M71,M73,M76:M79)</f>
        <v>102.58000000000001</v>
      </c>
      <c r="N86" s="99">
        <f>MAX(N19,N21:N38,N44:N45,N48,N79)</f>
        <v>4112.09</v>
      </c>
      <c r="P86" s="53" t="s">
        <v>23</v>
      </c>
      <c r="Q86" s="56">
        <f>MAX(Q37,Q39:Q49,Q51:Q67,Q69:Q74,Q76,Q78:Q80)</f>
        <v>140.30000000000001</v>
      </c>
      <c r="R86" s="56">
        <f>MAX(R37,R39:R72,R74:R80)</f>
        <v>265.35999999999996</v>
      </c>
      <c r="S86" s="56">
        <f>MAX(S37,S39:S72,S74:S80)</f>
        <v>587.02</v>
      </c>
      <c r="T86" s="56">
        <f>MAX(T37,T39:T50,T52:T72,T75:T80)</f>
        <v>671.82999999999993</v>
      </c>
      <c r="U86" s="56">
        <f>MAX(U37,U39:U72,U75:U80)</f>
        <v>768.84</v>
      </c>
      <c r="V86" s="56">
        <f>MAX(V37,V39:V45,V47:V49,V51:V72,V75:V80)</f>
        <v>745.31299999999999</v>
      </c>
      <c r="W86" s="56">
        <f>MAX(W37:W72,W75:W80)</f>
        <v>1106.2899999999997</v>
      </c>
      <c r="X86" s="56">
        <f>MAX(X37:X57,X59:X73,X75,X77:X79)</f>
        <v>781.3</v>
      </c>
      <c r="Y86" s="56">
        <f>MAX(Y37:Y46,Y48:Y57,Y59:Y64,Y68:Y71,Y73,Y75:Y80)</f>
        <v>552.25</v>
      </c>
      <c r="Z86" s="56">
        <f>MAX(Z37:Z70,Z72:Z76,Z78:Z80)</f>
        <v>340.21</v>
      </c>
      <c r="AA86" s="56">
        <f>MAX(AA37:AA57,AA59:AA80)</f>
        <v>138.66999999999999</v>
      </c>
      <c r="AB86" s="56">
        <f>MAX(AB37:AB42,AB44:AB60,AB62:AB73,AB75,AB77:AB80)</f>
        <v>110.38000000000001</v>
      </c>
      <c r="AC86" s="99">
        <f>MAX(AC37,AC39:AC42,AC44:AC45,AC48:AC49,AC52:AC57,AC59:AC60,AC62:AC64,AC69:AC70,AC78:AC79)</f>
        <v>4122.3775999999998</v>
      </c>
    </row>
    <row r="87" spans="1:29" x14ac:dyDescent="0.25">
      <c r="A87" s="51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P87" s="51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1:29" x14ac:dyDescent="0.25">
      <c r="A88" s="54" t="s">
        <v>24</v>
      </c>
      <c r="B88" s="55">
        <f>MIN(B19:B38,B40:B46,B48:B51,B54,B56:B57,B61:B65,B67:B74,B77:B80)</f>
        <v>3.9199999999999995</v>
      </c>
      <c r="C88" s="55">
        <f>MIN(C19:C38,C40:C51,C53:C54,C56:C57,C61:C80)</f>
        <v>30.8</v>
      </c>
      <c r="D88" s="55">
        <f>MAX(D19:D38,D40:D53,D55:D57,D61:D62,D64:D80)</f>
        <v>618.17999999999995</v>
      </c>
      <c r="E88" s="55">
        <f>MIN(E19:E38,E40:E41,E44:E49,E51:E56,E62:E68,E70,E72,E74,E76:E80)</f>
        <v>142.35</v>
      </c>
      <c r="F88" s="55">
        <f>MIN(F19:F38,F40:F41,F44:F45,F47:F49,F52,F54,F56,F62:F64,F66:F67,F69:F72,F74:F80)</f>
        <v>226.22</v>
      </c>
      <c r="G88" s="55">
        <f>MIN(G19:G38,G41,G43:G45,G53,G47:G49,G51,G56:G57,G62,G64:G67,G74:G76,G78:G80,G72,G69)</f>
        <v>224.16</v>
      </c>
      <c r="H88" s="55">
        <f>MIN(H19:H38,H41,H43:H49,H51,H55:H57,H61:H67,H70:H72,H74:H80)</f>
        <v>184.64</v>
      </c>
      <c r="I88" s="55">
        <f>MIN(I19:I49,I55:I57,I51:I52,I61,I63:I67,I70:I72,I74:I80)</f>
        <v>190.27</v>
      </c>
      <c r="J88" s="55">
        <f>MIN(J19:J41,J43:J49,J51:J54,J57,J61,J63:J66,J69:J72,J74:J80)</f>
        <v>46.055</v>
      </c>
      <c r="K88" s="55">
        <f>MIN(K19:K50,K53:K57,K60:K61,K66,K69:K70,K72,K74:K80)</f>
        <v>16.747</v>
      </c>
      <c r="L88" s="55">
        <f>MIN(L19:L48,L54:L56,L60:L62,L64,L66:L67,L70,L72:L73,L76:L77,L79:L80,L50)</f>
        <v>0</v>
      </c>
      <c r="M88" s="55">
        <f>MIN(M19:M40,M43:M48,M50,M53,M55,M57,M60:M64,M66:M67,M69:M71,M73,M76:M79)</f>
        <v>0</v>
      </c>
      <c r="N88" s="99">
        <f>MIN(N19,N21:N38,N44:N45,N48,N79)</f>
        <v>2102.6163000000001</v>
      </c>
      <c r="P88" s="54" t="s">
        <v>24</v>
      </c>
      <c r="Q88" s="55">
        <f>MIN(Q37,Q39:Q49,Q51:Q67,Q69:Q74,Q76,Q78:Q80)</f>
        <v>5.6400000000000006</v>
      </c>
      <c r="R88" s="55">
        <f>MIN(R37,R39:R72,R74:R80)</f>
        <v>44.38</v>
      </c>
      <c r="S88" s="55">
        <f>MIN(S37,S39:S72,S74:S80)</f>
        <v>108.18</v>
      </c>
      <c r="T88" s="55">
        <f>MIN(T37,T39:T50,T52:T72,T75:T80)</f>
        <v>134.03</v>
      </c>
      <c r="U88" s="55">
        <f>MIN(U37,U39:U72,U75:U80)</f>
        <v>317.64999999999998</v>
      </c>
      <c r="V88" s="55">
        <f>MIN(V37,V39:V45,V47:V49,V51:V72,V75:V80)</f>
        <v>241.08</v>
      </c>
      <c r="W88" s="55">
        <f>MIN(W37:W72,W75:W80)</f>
        <v>247.04</v>
      </c>
      <c r="X88" s="55">
        <f>MIN(X37:X57,X59:X73,X75,X77:X79)</f>
        <v>227.32</v>
      </c>
      <c r="Y88" s="55">
        <f>MIN(Y37:Y46,Y48:Y57,Y59:Y64,Y68:Y71,Y73,Y75:Y80)</f>
        <v>122.63</v>
      </c>
      <c r="Z88" s="55">
        <f>MIN(Z37:Z70,Z72:Z76,Z78:Z80)</f>
        <v>71.56</v>
      </c>
      <c r="AA88" s="55">
        <f>MIN(AA37:AA57,AA59:AA80)</f>
        <v>3.9</v>
      </c>
      <c r="AB88" s="55">
        <f>MIN(AB37:AB42,AB44:AB60,AB62:AB73,AB75,AB77:AB80)</f>
        <v>6.11</v>
      </c>
      <c r="AC88" s="99">
        <f>MIN(AC37,AC39:AC42,AC44:AC45,AC48:AC49,AC52:AC57,AC59:AC60,AC62:AC64,AC69:AC70,AC78:AC79)</f>
        <v>2458.9</v>
      </c>
    </row>
    <row r="92" spans="1:29" ht="21" customHeight="1" x14ac:dyDescent="0.25"/>
  </sheetData>
  <mergeCells count="4">
    <mergeCell ref="A84:N84"/>
    <mergeCell ref="P84:AC84"/>
    <mergeCell ref="B9:J9"/>
    <mergeCell ref="Q9:Y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C0FE-8A3A-4AA9-8C4D-8BBF417AF7FC}">
  <dimension ref="A1:AC92"/>
  <sheetViews>
    <sheetView zoomScale="60" zoomScaleNormal="60" workbookViewId="0">
      <selection activeCell="G87" sqref="G87"/>
    </sheetView>
  </sheetViews>
  <sheetFormatPr defaultRowHeight="15" x14ac:dyDescent="0.25"/>
  <cols>
    <col min="1" max="1" width="18.140625" customWidth="1"/>
    <col min="9" max="9" width="12.42578125" customWidth="1"/>
    <col min="11" max="11" width="10.140625" customWidth="1"/>
    <col min="12" max="12" width="11.5703125" customWidth="1"/>
    <col min="13" max="13" width="12" customWidth="1"/>
    <col min="16" max="16" width="21" customWidth="1"/>
    <col min="24" max="24" width="12.42578125" customWidth="1"/>
    <col min="26" max="26" width="10.140625" customWidth="1"/>
    <col min="27" max="27" width="11.5703125" customWidth="1"/>
    <col min="28" max="28" width="12" customWidth="1"/>
  </cols>
  <sheetData>
    <row r="1" spans="1:29" ht="15.75" x14ac:dyDescent="0.25">
      <c r="A1" s="141" t="s">
        <v>48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O1" s="140"/>
      <c r="P1" s="141" t="s">
        <v>34</v>
      </c>
      <c r="Q1" s="145"/>
      <c r="R1" s="145"/>
      <c r="S1" s="145"/>
      <c r="T1" s="145"/>
      <c r="U1" s="145"/>
      <c r="V1" s="145"/>
      <c r="W1" s="145"/>
      <c r="X1" s="145"/>
      <c r="Y1" s="145"/>
      <c r="Z1" s="145"/>
    </row>
    <row r="2" spans="1:29" x14ac:dyDescent="0.25">
      <c r="A2" s="6" t="s">
        <v>15</v>
      </c>
      <c r="O2" s="140"/>
      <c r="P2" s="6" t="s">
        <v>31</v>
      </c>
    </row>
    <row r="3" spans="1:29" x14ac:dyDescent="0.25">
      <c r="A3" s="6" t="s">
        <v>17</v>
      </c>
      <c r="O3" s="140"/>
      <c r="P3" s="6" t="s">
        <v>35</v>
      </c>
    </row>
    <row r="4" spans="1:29" x14ac:dyDescent="0.25">
      <c r="A4" s="96"/>
      <c r="B4" s="3" t="s">
        <v>33</v>
      </c>
      <c r="O4" s="140"/>
      <c r="P4" s="137"/>
      <c r="Q4" s="3" t="s">
        <v>33</v>
      </c>
    </row>
    <row r="5" spans="1:29" x14ac:dyDescent="0.25">
      <c r="A5" s="43"/>
      <c r="B5" t="s">
        <v>57</v>
      </c>
      <c r="O5" s="140"/>
      <c r="P5" s="138"/>
      <c r="Q5" t="s">
        <v>57</v>
      </c>
    </row>
    <row r="6" spans="1:29" x14ac:dyDescent="0.25">
      <c r="O6" s="140"/>
    </row>
    <row r="7" spans="1:29" x14ac:dyDescent="0.25">
      <c r="O7" s="140"/>
    </row>
    <row r="8" spans="1:29" ht="13.5" customHeight="1" x14ac:dyDescent="0.25">
      <c r="A8" s="52" t="s">
        <v>0</v>
      </c>
      <c r="B8" s="54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4" t="s">
        <v>7</v>
      </c>
      <c r="I8" s="54" t="s">
        <v>8</v>
      </c>
      <c r="J8" s="54" t="s">
        <v>9</v>
      </c>
      <c r="K8" s="54" t="s">
        <v>10</v>
      </c>
      <c r="L8" s="54" t="s">
        <v>11</v>
      </c>
      <c r="M8" s="54" t="s">
        <v>12</v>
      </c>
      <c r="N8" s="54" t="s">
        <v>25</v>
      </c>
      <c r="O8" s="140"/>
      <c r="P8" s="132" t="s">
        <v>0</v>
      </c>
      <c r="Q8" s="54" t="s">
        <v>1</v>
      </c>
      <c r="R8" s="54" t="s">
        <v>2</v>
      </c>
      <c r="S8" s="54" t="s">
        <v>3</v>
      </c>
      <c r="T8" s="54" t="s">
        <v>4</v>
      </c>
      <c r="U8" s="54" t="s">
        <v>5</v>
      </c>
      <c r="V8" s="54" t="s">
        <v>6</v>
      </c>
      <c r="W8" s="54" t="s">
        <v>7</v>
      </c>
      <c r="X8" s="54" t="s">
        <v>8</v>
      </c>
      <c r="Y8" s="54" t="s">
        <v>9</v>
      </c>
      <c r="Z8" s="54" t="s">
        <v>10</v>
      </c>
      <c r="AA8" s="54" t="s">
        <v>11</v>
      </c>
      <c r="AB8" s="54" t="s">
        <v>12</v>
      </c>
      <c r="AC8" s="54" t="s">
        <v>25</v>
      </c>
    </row>
    <row r="9" spans="1:29" ht="13.5" customHeight="1" x14ac:dyDescent="0.25">
      <c r="A9" s="52">
        <v>1954</v>
      </c>
      <c r="B9" s="163" t="s">
        <v>50</v>
      </c>
      <c r="C9" s="164"/>
      <c r="D9" s="164"/>
      <c r="E9" s="164"/>
      <c r="F9" s="164"/>
      <c r="G9" s="164"/>
      <c r="H9" s="164"/>
      <c r="I9" s="164"/>
      <c r="J9" s="165"/>
      <c r="K9" s="38"/>
      <c r="L9" s="38"/>
      <c r="M9" s="38"/>
      <c r="N9" s="38"/>
      <c r="P9" s="52">
        <v>1954</v>
      </c>
      <c r="Q9" s="163" t="s">
        <v>50</v>
      </c>
      <c r="R9" s="164"/>
      <c r="S9" s="164"/>
      <c r="T9" s="164"/>
      <c r="U9" s="164"/>
      <c r="V9" s="164"/>
      <c r="W9" s="164"/>
      <c r="X9" s="164"/>
      <c r="Y9" s="165"/>
      <c r="Z9" s="38"/>
      <c r="AA9" s="38"/>
      <c r="AB9" s="38"/>
      <c r="AC9" s="38"/>
    </row>
    <row r="10" spans="1:29" x14ac:dyDescent="0.25">
      <c r="A10" s="52">
        <v>1955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P10" s="52">
        <v>1955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9" x14ac:dyDescent="0.25">
      <c r="A11" s="52">
        <v>1956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P11" s="52">
        <v>1956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x14ac:dyDescent="0.25">
      <c r="A12" s="52">
        <v>1957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P12" s="52">
        <v>1957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spans="1:29" x14ac:dyDescent="0.25">
      <c r="A13" s="52">
        <v>1958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P13" s="52">
        <v>1958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1:29" x14ac:dyDescent="0.25">
      <c r="A14" s="52">
        <v>1959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P14" s="52">
        <v>1959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x14ac:dyDescent="0.25">
      <c r="A15" s="52">
        <v>1960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P15" s="52">
        <v>1960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x14ac:dyDescent="0.25">
      <c r="A16" s="52">
        <v>1961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P16" s="52">
        <v>1961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 x14ac:dyDescent="0.25">
      <c r="A17" s="52">
        <v>1962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52">
        <v>1962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x14ac:dyDescent="0.25">
      <c r="A18" s="52">
        <v>1963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P18" s="52">
        <v>1963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 x14ac:dyDescent="0.25">
      <c r="A19" s="52">
        <v>1964</v>
      </c>
      <c r="B19" s="4">
        <v>12.12</v>
      </c>
      <c r="C19" s="4">
        <v>58.62</v>
      </c>
      <c r="D19" s="4">
        <v>125.61</v>
      </c>
      <c r="E19" s="4">
        <v>159.1</v>
      </c>
      <c r="F19" s="4">
        <v>376.82</v>
      </c>
      <c r="G19" s="4">
        <v>314.01</v>
      </c>
      <c r="H19" s="4">
        <v>238.65</v>
      </c>
      <c r="I19" s="4">
        <v>150.72999999999999</v>
      </c>
      <c r="J19" s="4">
        <v>133.97999999999999</v>
      </c>
      <c r="K19" s="4">
        <v>50.241999999999997</v>
      </c>
      <c r="L19" s="4">
        <v>12.56</v>
      </c>
      <c r="M19" s="4">
        <v>8.3735999999999997</v>
      </c>
      <c r="N19" s="4">
        <f>SUM(B19:M19)</f>
        <v>1640.8155999999999</v>
      </c>
      <c r="P19" s="52">
        <v>1964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x14ac:dyDescent="0.25">
      <c r="A20" s="52">
        <v>1965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">
        <v>4.1867999999999999</v>
      </c>
      <c r="N20" s="90">
        <f t="shared" ref="N20:N79" si="0">SUM(B20:M20)</f>
        <v>4.1867999999999999</v>
      </c>
      <c r="P20" s="52">
        <v>1965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x14ac:dyDescent="0.25">
      <c r="A21" s="52">
        <v>1966</v>
      </c>
      <c r="B21" s="4">
        <v>8.3735999999999997</v>
      </c>
      <c r="C21" s="4">
        <v>25.120999999999999</v>
      </c>
      <c r="D21" s="4">
        <v>41.868000000000002</v>
      </c>
      <c r="E21" s="4">
        <v>96.296000000000006</v>
      </c>
      <c r="F21" s="4">
        <v>205.15</v>
      </c>
      <c r="G21" s="4">
        <v>355.87</v>
      </c>
      <c r="H21" s="4">
        <v>267.95</v>
      </c>
      <c r="I21" s="4">
        <v>217.71</v>
      </c>
      <c r="J21" s="4">
        <v>66.989000000000004</v>
      </c>
      <c r="K21" s="4">
        <v>66.989000000000004</v>
      </c>
      <c r="L21" s="4">
        <v>4.1867999999999999</v>
      </c>
      <c r="M21" s="4">
        <v>0</v>
      </c>
      <c r="N21" s="4">
        <f t="shared" si="0"/>
        <v>1356.5034000000001</v>
      </c>
      <c r="P21" s="52">
        <v>1966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x14ac:dyDescent="0.25">
      <c r="A22" s="52">
        <v>1967</v>
      </c>
      <c r="B22" s="4">
        <v>8.3735999999999997</v>
      </c>
      <c r="C22" s="4">
        <v>12.56</v>
      </c>
      <c r="D22" s="4">
        <v>75.361999999999995</v>
      </c>
      <c r="E22" s="4">
        <v>154.91</v>
      </c>
      <c r="F22" s="4">
        <v>259.58999999999997</v>
      </c>
      <c r="G22" s="4">
        <v>314.01</v>
      </c>
      <c r="H22" s="4">
        <v>372.63</v>
      </c>
      <c r="I22" s="4">
        <v>184.22</v>
      </c>
      <c r="J22" s="4">
        <v>113.05</v>
      </c>
      <c r="K22" s="4">
        <v>33.494</v>
      </c>
      <c r="L22" s="4">
        <v>12.56</v>
      </c>
      <c r="M22" s="4">
        <v>4.1867999999999999</v>
      </c>
      <c r="N22" s="4">
        <f t="shared" si="0"/>
        <v>1544.9463999999996</v>
      </c>
      <c r="P22" s="52">
        <v>1967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x14ac:dyDescent="0.25">
      <c r="A23" s="52">
        <v>1968</v>
      </c>
      <c r="B23" s="4">
        <v>8.3735999999999997</v>
      </c>
      <c r="C23" s="4">
        <v>46.05</v>
      </c>
      <c r="D23" s="4">
        <v>83.73</v>
      </c>
      <c r="E23" s="4">
        <v>267.95</v>
      </c>
      <c r="F23" s="4">
        <v>180.03</v>
      </c>
      <c r="G23" s="4">
        <v>401.93</v>
      </c>
      <c r="H23" s="4">
        <v>381</v>
      </c>
      <c r="I23" s="4">
        <v>288.89</v>
      </c>
      <c r="J23" s="4">
        <v>138.16</v>
      </c>
      <c r="K23" s="4">
        <v>20.934000000000001</v>
      </c>
      <c r="L23" s="4">
        <v>25.212</v>
      </c>
      <c r="M23" s="4">
        <v>4.1867999999999999</v>
      </c>
      <c r="N23" s="4">
        <f t="shared" si="0"/>
        <v>1846.4463999999998</v>
      </c>
      <c r="P23" s="52">
        <v>1968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</row>
    <row r="24" spans="1:29" x14ac:dyDescent="0.25">
      <c r="A24" s="52">
        <v>1969</v>
      </c>
      <c r="B24" s="4">
        <v>12.56</v>
      </c>
      <c r="C24" s="4">
        <v>25.120999999999999</v>
      </c>
      <c r="D24" s="2">
        <v>184.22</v>
      </c>
      <c r="E24" s="2">
        <v>125.6</v>
      </c>
      <c r="F24" s="2">
        <v>242.83</v>
      </c>
      <c r="G24" s="2">
        <v>389.37</v>
      </c>
      <c r="H24" s="2">
        <v>339.13</v>
      </c>
      <c r="I24" s="2">
        <v>234.46</v>
      </c>
      <c r="J24" s="2">
        <v>146.54</v>
      </c>
      <c r="K24" s="4">
        <v>50.241999999999997</v>
      </c>
      <c r="L24" s="4">
        <v>8.3735999999999997</v>
      </c>
      <c r="M24" s="4">
        <v>8.3735999999999997</v>
      </c>
      <c r="N24" s="4">
        <f t="shared" si="0"/>
        <v>1766.8201999999999</v>
      </c>
      <c r="P24" s="52">
        <v>1969</v>
      </c>
      <c r="Q24" s="40"/>
      <c r="R24" s="40"/>
      <c r="S24" s="38"/>
      <c r="T24" s="38"/>
      <c r="U24" s="38"/>
      <c r="V24" s="38"/>
      <c r="W24" s="38"/>
      <c r="X24" s="38"/>
      <c r="Y24" s="38"/>
      <c r="Z24" s="40"/>
      <c r="AA24" s="40"/>
      <c r="AB24" s="40"/>
      <c r="AC24" s="40"/>
    </row>
    <row r="25" spans="1:29" x14ac:dyDescent="0.25">
      <c r="A25" s="52">
        <v>1970</v>
      </c>
      <c r="B25" s="4">
        <v>12.56</v>
      </c>
      <c r="C25" s="4">
        <v>20.94</v>
      </c>
      <c r="D25" s="4">
        <v>33.5</v>
      </c>
      <c r="E25" s="4">
        <v>100.49</v>
      </c>
      <c r="F25" s="4">
        <v>267.95</v>
      </c>
      <c r="G25" s="4">
        <v>397.74</v>
      </c>
      <c r="H25" s="4">
        <v>209.34</v>
      </c>
      <c r="I25" s="4">
        <v>209.34</v>
      </c>
      <c r="J25" s="4">
        <v>92.1</v>
      </c>
      <c r="K25" s="4">
        <v>33.5</v>
      </c>
      <c r="L25" s="4">
        <v>8.3735999999999997</v>
      </c>
      <c r="M25" s="4">
        <v>8.3735999999999997</v>
      </c>
      <c r="N25" s="4">
        <f t="shared" si="0"/>
        <v>1394.2071999999996</v>
      </c>
      <c r="P25" s="52">
        <v>1970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</row>
    <row r="26" spans="1:29" x14ac:dyDescent="0.25">
      <c r="A26" s="52">
        <v>1971</v>
      </c>
      <c r="B26" s="4">
        <v>16.747</v>
      </c>
      <c r="C26" s="4">
        <v>20.934000000000001</v>
      </c>
      <c r="D26" s="4">
        <v>46.05</v>
      </c>
      <c r="E26" s="4">
        <v>171.66</v>
      </c>
      <c r="F26" s="4">
        <v>401.93</v>
      </c>
      <c r="G26" s="4">
        <v>196.78</v>
      </c>
      <c r="H26" s="4">
        <v>309.82</v>
      </c>
      <c r="I26" s="4">
        <v>163.28</v>
      </c>
      <c r="J26" s="4">
        <v>20.934000000000001</v>
      </c>
      <c r="K26" s="4">
        <v>8.3735999999999997</v>
      </c>
      <c r="L26" s="4">
        <v>0</v>
      </c>
      <c r="M26" s="4">
        <v>0</v>
      </c>
      <c r="N26" s="4">
        <f t="shared" si="0"/>
        <v>1356.5085999999999</v>
      </c>
      <c r="P26" s="52">
        <v>1971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</row>
    <row r="27" spans="1:29" x14ac:dyDescent="0.25">
      <c r="A27" s="52">
        <v>1972</v>
      </c>
      <c r="B27" s="4">
        <v>4.1867999999999999</v>
      </c>
      <c r="C27" s="4">
        <v>12.56</v>
      </c>
      <c r="D27" s="4">
        <v>96.29</v>
      </c>
      <c r="E27" s="4">
        <v>150.72</v>
      </c>
      <c r="F27" s="4">
        <v>163.29</v>
      </c>
      <c r="G27" s="4">
        <v>272.14</v>
      </c>
      <c r="H27" s="4">
        <v>293.07</v>
      </c>
      <c r="I27" s="4">
        <v>138.16</v>
      </c>
      <c r="J27" s="4">
        <v>113.05</v>
      </c>
      <c r="K27" s="4">
        <v>58.61</v>
      </c>
      <c r="L27" s="4">
        <v>0</v>
      </c>
      <c r="M27" s="4">
        <v>12.56</v>
      </c>
      <c r="N27" s="4">
        <f t="shared" si="0"/>
        <v>1314.6367999999998</v>
      </c>
      <c r="P27" s="52">
        <v>1972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</row>
    <row r="28" spans="1:29" x14ac:dyDescent="0.25">
      <c r="A28" s="52">
        <v>1973</v>
      </c>
      <c r="B28" s="4">
        <v>4.1867999999999999</v>
      </c>
      <c r="C28" s="4">
        <v>12.56</v>
      </c>
      <c r="D28" s="4">
        <v>83.736000000000004</v>
      </c>
      <c r="E28" s="4">
        <v>75.37</v>
      </c>
      <c r="F28" s="4">
        <v>276.33</v>
      </c>
      <c r="G28" s="4">
        <v>242.84</v>
      </c>
      <c r="H28" s="4">
        <v>259.58</v>
      </c>
      <c r="I28" s="4">
        <v>251.21</v>
      </c>
      <c r="J28" s="4">
        <v>104.67</v>
      </c>
      <c r="K28" s="4">
        <v>100.49</v>
      </c>
      <c r="L28" s="4">
        <v>16.747</v>
      </c>
      <c r="M28" s="4">
        <v>0</v>
      </c>
      <c r="N28" s="4">
        <f t="shared" si="0"/>
        <v>1427.7198000000001</v>
      </c>
      <c r="P28" s="52">
        <v>1973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</row>
    <row r="29" spans="1:29" x14ac:dyDescent="0.25">
      <c r="A29" s="52">
        <v>1974</v>
      </c>
      <c r="B29" s="4">
        <v>4.1867999999999999</v>
      </c>
      <c r="C29" s="4">
        <v>37.680999999999997</v>
      </c>
      <c r="D29" s="4">
        <v>171.66</v>
      </c>
      <c r="E29" s="2">
        <v>205.15</v>
      </c>
      <c r="F29" s="4">
        <v>209.34</v>
      </c>
      <c r="G29" s="4">
        <v>226.09</v>
      </c>
      <c r="H29" s="4">
        <v>133.97999999999999</v>
      </c>
      <c r="I29" s="4">
        <v>234.46</v>
      </c>
      <c r="J29" s="4">
        <v>163.28</v>
      </c>
      <c r="K29" s="4">
        <v>4.1867999999999999</v>
      </c>
      <c r="L29" s="4">
        <v>0</v>
      </c>
      <c r="M29" s="4">
        <v>0</v>
      </c>
      <c r="N29" s="4">
        <f t="shared" si="0"/>
        <v>1390.0146</v>
      </c>
      <c r="P29" s="52">
        <v>1974</v>
      </c>
      <c r="Q29" s="40"/>
      <c r="R29" s="40"/>
      <c r="S29" s="40"/>
      <c r="T29" s="38"/>
      <c r="U29" s="40"/>
      <c r="V29" s="40"/>
      <c r="W29" s="40"/>
      <c r="X29" s="40"/>
      <c r="Y29" s="40"/>
      <c r="Z29" s="40"/>
      <c r="AA29" s="40"/>
      <c r="AB29" s="40"/>
      <c r="AC29" s="40"/>
    </row>
    <row r="30" spans="1:29" x14ac:dyDescent="0.25">
      <c r="A30" s="52">
        <v>1975</v>
      </c>
      <c r="B30" s="4">
        <v>4.1867999999999999</v>
      </c>
      <c r="C30" s="4">
        <v>41.868000000000002</v>
      </c>
      <c r="D30" s="4">
        <v>79.549000000000007</v>
      </c>
      <c r="E30" s="4">
        <v>108.86</v>
      </c>
      <c r="F30" s="4">
        <v>238.65</v>
      </c>
      <c r="G30" s="4">
        <v>297.26</v>
      </c>
      <c r="H30" s="4">
        <v>339.13</v>
      </c>
      <c r="I30" s="4">
        <v>255.4</v>
      </c>
      <c r="J30" s="4">
        <v>167.47</v>
      </c>
      <c r="K30" s="4">
        <v>37.680999999999997</v>
      </c>
      <c r="L30" s="4">
        <v>8.3735999999999997</v>
      </c>
      <c r="M30" s="4">
        <v>8.3735999999999997</v>
      </c>
      <c r="N30" s="4">
        <f t="shared" si="0"/>
        <v>1586.8019999999999</v>
      </c>
      <c r="P30" s="52">
        <v>1975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1:29" x14ac:dyDescent="0.25">
      <c r="A31" s="52">
        <v>1976</v>
      </c>
      <c r="B31" s="4">
        <v>11.723000000000001</v>
      </c>
      <c r="C31" s="4">
        <v>56.95</v>
      </c>
      <c r="D31" s="4">
        <v>43.54</v>
      </c>
      <c r="E31" s="4">
        <v>190.08</v>
      </c>
      <c r="F31" s="4">
        <v>284.29000000000002</v>
      </c>
      <c r="G31" s="4">
        <v>313.17</v>
      </c>
      <c r="H31" s="4">
        <v>276.75</v>
      </c>
      <c r="I31" s="4">
        <v>205.57</v>
      </c>
      <c r="J31" s="4">
        <v>151.99</v>
      </c>
      <c r="K31" s="4">
        <v>58.61</v>
      </c>
      <c r="L31" s="4">
        <v>4.6055000000000001</v>
      </c>
      <c r="M31" s="4">
        <v>2.93</v>
      </c>
      <c r="N31" s="4">
        <f t="shared" si="0"/>
        <v>1600.2085</v>
      </c>
      <c r="P31" s="52">
        <v>1976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x14ac:dyDescent="0.25">
      <c r="A32" s="52">
        <v>1977</v>
      </c>
      <c r="B32" s="4">
        <v>3.77</v>
      </c>
      <c r="C32" s="4">
        <v>18.420000000000002</v>
      </c>
      <c r="D32" s="4">
        <v>73.269000000000005</v>
      </c>
      <c r="E32" s="4">
        <v>94.21</v>
      </c>
      <c r="F32" s="4">
        <v>229.85</v>
      </c>
      <c r="G32" s="4">
        <v>262.08999999999997</v>
      </c>
      <c r="H32" s="4">
        <v>172.92</v>
      </c>
      <c r="I32" s="4">
        <v>196.36</v>
      </c>
      <c r="J32" s="4">
        <v>65.733000000000004</v>
      </c>
      <c r="K32" s="4">
        <v>23.86</v>
      </c>
      <c r="L32" s="4">
        <v>1.68</v>
      </c>
      <c r="M32" s="4">
        <v>8.3735999999999997</v>
      </c>
      <c r="N32" s="4">
        <f t="shared" si="0"/>
        <v>1150.5355999999997</v>
      </c>
      <c r="P32" s="52">
        <v>1977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</row>
    <row r="33" spans="1:29" x14ac:dyDescent="0.25">
      <c r="A33" s="52">
        <v>1978</v>
      </c>
      <c r="B33" s="4">
        <v>9.2110000000000003</v>
      </c>
      <c r="C33" s="4">
        <v>33.08</v>
      </c>
      <c r="D33" s="4">
        <v>62.802</v>
      </c>
      <c r="E33" s="4">
        <v>158.68</v>
      </c>
      <c r="F33" s="4">
        <v>324.89999999999998</v>
      </c>
      <c r="G33" s="4">
        <v>283.86</v>
      </c>
      <c r="H33" s="4">
        <v>147.37</v>
      </c>
      <c r="I33" s="4">
        <v>122.26</v>
      </c>
      <c r="J33" s="4">
        <v>32.656999999999996</v>
      </c>
      <c r="K33" s="4">
        <v>16.747</v>
      </c>
      <c r="L33" s="4">
        <v>0</v>
      </c>
      <c r="M33" s="4">
        <v>11.723000000000001</v>
      </c>
      <c r="N33" s="4">
        <f t="shared" si="0"/>
        <v>1203.29</v>
      </c>
      <c r="P33" s="52">
        <v>1978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</row>
    <row r="34" spans="1:29" x14ac:dyDescent="0.25">
      <c r="A34" s="52">
        <v>1979</v>
      </c>
      <c r="B34" s="4">
        <v>3.35</v>
      </c>
      <c r="C34" s="4">
        <v>43.124000000000002</v>
      </c>
      <c r="D34" s="4">
        <v>45.63</v>
      </c>
      <c r="E34" s="4">
        <v>195.95</v>
      </c>
      <c r="F34" s="4">
        <v>308.98599999999999</v>
      </c>
      <c r="G34" s="4">
        <v>370.95</v>
      </c>
      <c r="H34" s="4">
        <v>119.33</v>
      </c>
      <c r="I34" s="4">
        <v>142.77000000000001</v>
      </c>
      <c r="J34" s="4">
        <v>106.76</v>
      </c>
      <c r="K34" s="4">
        <v>100.07</v>
      </c>
      <c r="L34" s="4">
        <v>4.6055000000000001</v>
      </c>
      <c r="M34" s="4">
        <v>5.0242000000000004</v>
      </c>
      <c r="N34" s="4">
        <f t="shared" si="0"/>
        <v>1446.5496999999998</v>
      </c>
      <c r="P34" s="52">
        <v>1979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</row>
    <row r="35" spans="1:29" x14ac:dyDescent="0.25">
      <c r="A35" s="52">
        <v>1980</v>
      </c>
      <c r="B35" s="2">
        <v>5.43</v>
      </c>
      <c r="C35" s="2">
        <v>11.63</v>
      </c>
      <c r="D35" s="4">
        <v>143</v>
      </c>
      <c r="E35" s="2">
        <v>129.66</v>
      </c>
      <c r="F35" s="2">
        <v>219.31</v>
      </c>
      <c r="G35" s="2">
        <v>260.16000000000003</v>
      </c>
      <c r="H35" s="2">
        <v>123.14</v>
      </c>
      <c r="I35" s="4">
        <v>113.4</v>
      </c>
      <c r="J35" s="2">
        <v>75.33</v>
      </c>
      <c r="K35" s="4">
        <v>35.200000000000003</v>
      </c>
      <c r="L35" s="2">
        <v>16.86</v>
      </c>
      <c r="M35" s="4">
        <v>4.0999999999999996</v>
      </c>
      <c r="N35" s="4">
        <f t="shared" si="0"/>
        <v>1137.2199999999998</v>
      </c>
      <c r="P35" s="52">
        <v>1980</v>
      </c>
      <c r="Q35" s="38"/>
      <c r="R35" s="38"/>
      <c r="S35" s="40"/>
      <c r="T35" s="38"/>
      <c r="U35" s="38"/>
      <c r="V35" s="38"/>
      <c r="W35" s="38"/>
      <c r="X35" s="40"/>
      <c r="Y35" s="38"/>
      <c r="Z35" s="40"/>
      <c r="AA35" s="38"/>
      <c r="AB35" s="40"/>
      <c r="AC35" s="40"/>
    </row>
    <row r="36" spans="1:29" x14ac:dyDescent="0.25">
      <c r="A36" s="52">
        <v>1981</v>
      </c>
      <c r="B36" s="2">
        <v>6.78</v>
      </c>
      <c r="C36" s="2">
        <v>35.049999999999997</v>
      </c>
      <c r="D36" s="2">
        <v>81.59</v>
      </c>
      <c r="E36" s="2">
        <v>196.11</v>
      </c>
      <c r="F36" s="2">
        <v>312.08</v>
      </c>
      <c r="G36" s="2">
        <v>148.53</v>
      </c>
      <c r="H36" s="4">
        <v>188.2</v>
      </c>
      <c r="I36" s="2">
        <v>171.16</v>
      </c>
      <c r="J36" s="2">
        <v>96.77</v>
      </c>
      <c r="K36" s="2">
        <v>21.21</v>
      </c>
      <c r="L36" s="2">
        <v>4.22</v>
      </c>
      <c r="M36" s="2">
        <v>3.46</v>
      </c>
      <c r="N36" s="4">
        <f t="shared" si="0"/>
        <v>1265.1600000000001</v>
      </c>
      <c r="P36" s="52">
        <v>1981</v>
      </c>
      <c r="Q36" s="38"/>
      <c r="R36" s="38"/>
      <c r="S36" s="38"/>
      <c r="T36" s="38"/>
      <c r="U36" s="38"/>
      <c r="V36" s="38"/>
      <c r="W36" s="40"/>
      <c r="X36" s="38"/>
      <c r="Y36" s="38"/>
      <c r="Z36" s="38"/>
      <c r="AA36" s="38"/>
      <c r="AB36" s="38"/>
      <c r="AC36" s="40"/>
    </row>
    <row r="37" spans="1:29" x14ac:dyDescent="0.25">
      <c r="A37" s="52">
        <v>1982</v>
      </c>
      <c r="B37" s="2">
        <v>11.51</v>
      </c>
      <c r="C37" s="2">
        <v>16.760000000000002</v>
      </c>
      <c r="D37" s="2">
        <v>119.65</v>
      </c>
      <c r="E37" s="4">
        <v>124.6</v>
      </c>
      <c r="F37" s="2">
        <v>288.02</v>
      </c>
      <c r="G37" s="2">
        <v>294.86</v>
      </c>
      <c r="H37" s="2">
        <v>398.48</v>
      </c>
      <c r="I37" s="2">
        <v>260.37</v>
      </c>
      <c r="J37" s="2">
        <v>95.36</v>
      </c>
      <c r="K37" s="2">
        <v>51.26</v>
      </c>
      <c r="L37" s="2">
        <v>10.62</v>
      </c>
      <c r="M37" s="2">
        <v>2.21</v>
      </c>
      <c r="N37" s="4">
        <f t="shared" si="0"/>
        <v>1673.6999999999998</v>
      </c>
      <c r="P37" s="52">
        <v>1982</v>
      </c>
      <c r="Q37" s="2">
        <v>17.97</v>
      </c>
      <c r="R37" s="2">
        <v>22.74</v>
      </c>
      <c r="S37" s="2">
        <v>141.16</v>
      </c>
      <c r="T37" s="4">
        <v>168.89</v>
      </c>
      <c r="U37" s="2">
        <v>308.97000000000003</v>
      </c>
      <c r="V37" s="2">
        <v>197.56</v>
      </c>
      <c r="W37" s="2">
        <v>308.33</v>
      </c>
      <c r="X37" s="2">
        <v>323.44</v>
      </c>
      <c r="Y37" s="2">
        <v>168.47</v>
      </c>
      <c r="Z37" s="2">
        <v>71.47</v>
      </c>
      <c r="AA37" s="2">
        <v>18.100000000000001</v>
      </c>
      <c r="AB37" s="2">
        <v>1.56</v>
      </c>
      <c r="AC37" s="4">
        <f t="shared" ref="AC37:AC43" si="1">SUM(Q37:AB37)</f>
        <v>1748.6599999999999</v>
      </c>
    </row>
    <row r="38" spans="1:29" x14ac:dyDescent="0.25">
      <c r="A38" s="52">
        <v>1983</v>
      </c>
      <c r="B38" s="2">
        <v>2.12</v>
      </c>
      <c r="C38" s="2">
        <v>26.38</v>
      </c>
      <c r="D38" s="2">
        <v>21.73</v>
      </c>
      <c r="E38" s="2">
        <v>104.89</v>
      </c>
      <c r="F38" s="2">
        <v>140.43</v>
      </c>
      <c r="G38" s="2">
        <v>327.39</v>
      </c>
      <c r="H38" s="2">
        <v>226.77</v>
      </c>
      <c r="I38" s="2">
        <v>285.70999999999998</v>
      </c>
      <c r="J38" s="2">
        <v>71.13</v>
      </c>
      <c r="K38" s="2">
        <v>32.71</v>
      </c>
      <c r="L38" s="2">
        <v>11.93</v>
      </c>
      <c r="M38" s="2">
        <v>6.26</v>
      </c>
      <c r="N38" s="4">
        <f t="shared" si="0"/>
        <v>1257.4500000000003</v>
      </c>
      <c r="P38" s="52">
        <v>1983</v>
      </c>
      <c r="Q38" s="95" t="s">
        <v>13</v>
      </c>
      <c r="R38" s="95" t="s">
        <v>13</v>
      </c>
      <c r="S38" s="95" t="s">
        <v>13</v>
      </c>
      <c r="T38" s="95" t="s">
        <v>13</v>
      </c>
      <c r="U38" s="95" t="s">
        <v>13</v>
      </c>
      <c r="V38" s="95" t="s">
        <v>13</v>
      </c>
      <c r="W38" s="2">
        <v>361.97</v>
      </c>
      <c r="X38" s="2">
        <v>382.73</v>
      </c>
      <c r="Y38" s="2">
        <v>101.91</v>
      </c>
      <c r="Z38" s="2">
        <v>44.67</v>
      </c>
      <c r="AA38" s="2">
        <v>29.57</v>
      </c>
      <c r="AB38" s="2">
        <v>11.33</v>
      </c>
      <c r="AC38" s="90">
        <f t="shared" si="1"/>
        <v>932.18000000000006</v>
      </c>
    </row>
    <row r="39" spans="1:29" x14ac:dyDescent="0.25">
      <c r="A39" s="52">
        <v>1984</v>
      </c>
      <c r="B39" s="4">
        <v>5.0999999999999996</v>
      </c>
      <c r="C39" s="2">
        <v>36.08</v>
      </c>
      <c r="D39" s="2">
        <v>138.08000000000001</v>
      </c>
      <c r="E39" s="2">
        <v>187.76</v>
      </c>
      <c r="F39" s="4">
        <v>217.8</v>
      </c>
      <c r="G39" s="2">
        <v>175.41</v>
      </c>
      <c r="H39" s="97" t="s">
        <v>13</v>
      </c>
      <c r="I39" s="2">
        <v>242.35</v>
      </c>
      <c r="J39" s="4">
        <v>72.2</v>
      </c>
      <c r="K39" s="2">
        <v>25.45</v>
      </c>
      <c r="L39" s="2">
        <v>11.91</v>
      </c>
      <c r="M39" s="2">
        <v>4.17</v>
      </c>
      <c r="N39" s="90">
        <f t="shared" si="0"/>
        <v>1116.3100000000002</v>
      </c>
      <c r="P39" s="52">
        <v>1984</v>
      </c>
      <c r="Q39" s="4">
        <v>6.7</v>
      </c>
      <c r="R39" s="2">
        <v>54.31</v>
      </c>
      <c r="S39" s="2">
        <v>145.52000000000001</v>
      </c>
      <c r="T39" s="2">
        <v>235.18</v>
      </c>
      <c r="U39" s="4">
        <v>186.66</v>
      </c>
      <c r="V39" s="2">
        <v>152.13</v>
      </c>
      <c r="W39" s="8">
        <v>204.38</v>
      </c>
      <c r="X39" s="2">
        <v>261.27999999999997</v>
      </c>
      <c r="Y39" s="4">
        <v>57.45</v>
      </c>
      <c r="Z39" s="2">
        <v>42.39</v>
      </c>
      <c r="AA39" s="2">
        <v>18.82</v>
      </c>
      <c r="AB39" s="4">
        <v>1.2</v>
      </c>
      <c r="AC39" s="4">
        <f t="shared" si="1"/>
        <v>1366.02</v>
      </c>
    </row>
    <row r="40" spans="1:29" x14ac:dyDescent="0.25">
      <c r="A40" s="52">
        <v>1985</v>
      </c>
      <c r="B40" s="4">
        <v>12.9</v>
      </c>
      <c r="C40" s="2">
        <v>32.49</v>
      </c>
      <c r="D40" s="2">
        <v>29.18</v>
      </c>
      <c r="E40" s="2">
        <v>117.56</v>
      </c>
      <c r="F40" s="2">
        <v>311.20999999999998</v>
      </c>
      <c r="G40" s="2">
        <v>265.89</v>
      </c>
      <c r="H40" s="2">
        <v>263.85000000000002</v>
      </c>
      <c r="I40" s="2">
        <v>171.69</v>
      </c>
      <c r="J40" s="2">
        <v>103.73</v>
      </c>
      <c r="K40" s="2">
        <v>38.869999999999997</v>
      </c>
      <c r="L40" s="2">
        <v>15.12</v>
      </c>
      <c r="M40" s="2">
        <v>3.58</v>
      </c>
      <c r="N40" s="4">
        <f t="shared" si="0"/>
        <v>1366.0699999999997</v>
      </c>
      <c r="P40" s="52">
        <v>1985</v>
      </c>
      <c r="Q40" s="4">
        <v>15.82</v>
      </c>
      <c r="R40" s="2">
        <v>58.38</v>
      </c>
      <c r="S40" s="2">
        <v>58.06</v>
      </c>
      <c r="T40" s="2">
        <v>150.26</v>
      </c>
      <c r="U40" s="2">
        <v>371.91</v>
      </c>
      <c r="V40" s="2">
        <v>266.91000000000003</v>
      </c>
      <c r="W40" s="2">
        <v>237.98</v>
      </c>
      <c r="X40" s="2">
        <v>216.77</v>
      </c>
      <c r="Y40" s="2">
        <v>107.89</v>
      </c>
      <c r="Z40" s="2">
        <v>50.95</v>
      </c>
      <c r="AA40" s="4">
        <v>15</v>
      </c>
      <c r="AB40" s="2">
        <v>4.49</v>
      </c>
      <c r="AC40" s="4">
        <f t="shared" si="1"/>
        <v>1554.4200000000003</v>
      </c>
    </row>
    <row r="41" spans="1:29" x14ac:dyDescent="0.25">
      <c r="A41" s="52">
        <v>1986</v>
      </c>
      <c r="B41" s="2">
        <v>4.22</v>
      </c>
      <c r="C41" s="2">
        <v>50.66</v>
      </c>
      <c r="D41" s="2">
        <v>120.11</v>
      </c>
      <c r="E41" s="2">
        <v>176.76</v>
      </c>
      <c r="F41" s="2">
        <v>331.51</v>
      </c>
      <c r="G41" s="4">
        <v>377.4</v>
      </c>
      <c r="H41" s="4">
        <v>244.3</v>
      </c>
      <c r="I41" s="2">
        <v>271.83</v>
      </c>
      <c r="J41" s="2">
        <v>144.12</v>
      </c>
      <c r="K41" s="4">
        <v>62.3</v>
      </c>
      <c r="L41" s="2">
        <v>19.739999999999998</v>
      </c>
      <c r="M41" s="2">
        <v>4.46</v>
      </c>
      <c r="N41" s="4">
        <f t="shared" si="0"/>
        <v>1807.4099999999999</v>
      </c>
      <c r="P41" s="52">
        <v>1986</v>
      </c>
      <c r="Q41" s="2">
        <v>3.78</v>
      </c>
      <c r="R41" s="2">
        <v>64.650000000000006</v>
      </c>
      <c r="S41" s="2">
        <v>138.01</v>
      </c>
      <c r="T41" s="2">
        <v>171.15</v>
      </c>
      <c r="U41" s="2">
        <v>334.24</v>
      </c>
      <c r="V41" s="4">
        <v>379.6</v>
      </c>
      <c r="W41" s="4">
        <v>288.17</v>
      </c>
      <c r="X41" s="2">
        <v>269.82</v>
      </c>
      <c r="Y41" s="2">
        <v>138.82</v>
      </c>
      <c r="Z41" s="4">
        <v>60.56</v>
      </c>
      <c r="AA41" s="2">
        <v>14.56</v>
      </c>
      <c r="AB41" s="2">
        <v>7.65</v>
      </c>
      <c r="AC41" s="4">
        <f t="shared" si="1"/>
        <v>1871.01</v>
      </c>
    </row>
    <row r="42" spans="1:29" x14ac:dyDescent="0.25">
      <c r="A42" s="52">
        <v>1987</v>
      </c>
      <c r="B42" s="2">
        <v>19.739999999999998</v>
      </c>
      <c r="C42" s="2">
        <v>54.26</v>
      </c>
      <c r="D42" s="2">
        <v>138.65</v>
      </c>
      <c r="E42" s="144" t="s">
        <v>13</v>
      </c>
      <c r="F42" s="95">
        <v>223.21</v>
      </c>
      <c r="G42" s="2">
        <v>123.75</v>
      </c>
      <c r="H42" s="95">
        <v>175.16</v>
      </c>
      <c r="I42" s="95">
        <v>191.41</v>
      </c>
      <c r="J42" s="95">
        <v>100.6</v>
      </c>
      <c r="K42" s="95">
        <v>85.04</v>
      </c>
      <c r="L42" s="95">
        <v>7.67</v>
      </c>
      <c r="M42" s="95">
        <v>3.25</v>
      </c>
      <c r="N42" s="90">
        <f t="shared" si="0"/>
        <v>1122.74</v>
      </c>
      <c r="P42" s="52">
        <v>1987</v>
      </c>
      <c r="Q42" s="2">
        <v>23.19</v>
      </c>
      <c r="R42" s="2">
        <v>51.71</v>
      </c>
      <c r="S42" s="4">
        <v>168.6</v>
      </c>
      <c r="T42" s="4">
        <v>185.27</v>
      </c>
      <c r="U42" s="2">
        <v>191.73</v>
      </c>
      <c r="V42" s="4">
        <v>215.7</v>
      </c>
      <c r="W42" s="2">
        <v>300.01</v>
      </c>
      <c r="X42" s="2">
        <v>210.16</v>
      </c>
      <c r="Y42" s="2">
        <v>158.83000000000001</v>
      </c>
      <c r="Z42" s="4">
        <v>102.1</v>
      </c>
      <c r="AA42" s="2">
        <v>23.97</v>
      </c>
      <c r="AB42" s="2">
        <v>5.32</v>
      </c>
      <c r="AC42" s="4">
        <f t="shared" si="1"/>
        <v>1636.59</v>
      </c>
    </row>
    <row r="43" spans="1:29" x14ac:dyDescent="0.25">
      <c r="A43" s="52">
        <v>1988</v>
      </c>
      <c r="B43" s="95">
        <v>5.35</v>
      </c>
      <c r="C43" s="95">
        <v>8.89</v>
      </c>
      <c r="D43" s="2">
        <v>68.19</v>
      </c>
      <c r="E43" s="144" t="s">
        <v>13</v>
      </c>
      <c r="F43" s="144" t="s">
        <v>13</v>
      </c>
      <c r="G43" s="2">
        <v>340.28</v>
      </c>
      <c r="H43" s="2">
        <v>238.57</v>
      </c>
      <c r="I43" s="95">
        <v>214.73</v>
      </c>
      <c r="J43" s="95">
        <v>117.02</v>
      </c>
      <c r="K43" s="95">
        <v>97.76</v>
      </c>
      <c r="L43" s="95">
        <v>29.64</v>
      </c>
      <c r="M43" s="95">
        <v>11.98</v>
      </c>
      <c r="N43" s="90">
        <f t="shared" si="0"/>
        <v>1132.4100000000001</v>
      </c>
      <c r="P43" s="52">
        <v>1988</v>
      </c>
      <c r="Q43" s="2">
        <v>9.81</v>
      </c>
      <c r="R43" s="2">
        <v>15.86</v>
      </c>
      <c r="S43" s="2">
        <v>49.76</v>
      </c>
      <c r="T43" s="4">
        <v>221.75</v>
      </c>
      <c r="U43" s="4">
        <v>407.94</v>
      </c>
      <c r="V43" s="2">
        <v>299.42</v>
      </c>
      <c r="W43" s="2">
        <v>285.99</v>
      </c>
      <c r="X43" s="2">
        <v>182.86</v>
      </c>
      <c r="Y43" s="2">
        <v>125.39</v>
      </c>
      <c r="Z43" s="2">
        <v>115.36</v>
      </c>
      <c r="AA43" s="2">
        <v>30.93</v>
      </c>
      <c r="AB43" s="95">
        <v>13.07</v>
      </c>
      <c r="AC43" s="90">
        <f t="shared" si="1"/>
        <v>1758.1399999999999</v>
      </c>
    </row>
    <row r="44" spans="1:29" x14ac:dyDescent="0.25">
      <c r="A44" s="52">
        <v>1989</v>
      </c>
      <c r="B44" s="2">
        <v>12.41</v>
      </c>
      <c r="C44" s="2">
        <v>23.52</v>
      </c>
      <c r="D44" s="2">
        <v>57.21</v>
      </c>
      <c r="E44" s="2">
        <v>131.05000000000001</v>
      </c>
      <c r="F44" s="2">
        <v>331.41</v>
      </c>
      <c r="G44" s="2">
        <v>239.33</v>
      </c>
      <c r="H44" s="2">
        <v>317.91000000000003</v>
      </c>
      <c r="I44" s="2">
        <v>168.25</v>
      </c>
      <c r="J44" s="2">
        <v>134.83000000000001</v>
      </c>
      <c r="K44" s="4">
        <v>27.9</v>
      </c>
      <c r="L44" s="2">
        <v>12.99</v>
      </c>
      <c r="M44" s="2">
        <v>5.77</v>
      </c>
      <c r="N44" s="4">
        <f t="shared" si="0"/>
        <v>1462.5800000000002</v>
      </c>
      <c r="P44" s="52">
        <v>1989</v>
      </c>
      <c r="Q44" s="2">
        <v>12.79</v>
      </c>
      <c r="R44" s="2">
        <v>38.22</v>
      </c>
      <c r="S44" s="2">
        <v>48.39</v>
      </c>
      <c r="T44" s="4">
        <v>141.80000000000001</v>
      </c>
      <c r="U44" s="2">
        <v>423.09</v>
      </c>
      <c r="V44" s="2">
        <v>290.25</v>
      </c>
      <c r="W44" s="4">
        <v>409.3</v>
      </c>
      <c r="X44" s="2">
        <v>233.06</v>
      </c>
      <c r="Y44" s="2">
        <v>212.59</v>
      </c>
      <c r="Z44" s="4">
        <v>29.71</v>
      </c>
      <c r="AA44" s="4">
        <v>25.1</v>
      </c>
      <c r="AB44" s="2">
        <v>9.52</v>
      </c>
      <c r="AC44" s="4">
        <f t="shared" ref="AC44:AC45" si="2">SUM(Q44:AB44)</f>
        <v>1873.8199999999997</v>
      </c>
    </row>
    <row r="45" spans="1:29" x14ac:dyDescent="0.25">
      <c r="A45" s="52">
        <v>1990</v>
      </c>
      <c r="B45" s="2">
        <v>5.79</v>
      </c>
      <c r="C45" s="2">
        <v>33.590000000000003</v>
      </c>
      <c r="D45" s="2">
        <v>106.72</v>
      </c>
      <c r="E45" s="2">
        <v>250.51</v>
      </c>
      <c r="F45" s="2">
        <v>306.42</v>
      </c>
      <c r="G45" s="90">
        <v>295.7</v>
      </c>
      <c r="H45" s="2">
        <v>238.24</v>
      </c>
      <c r="I45" s="95">
        <v>266.37</v>
      </c>
      <c r="J45" s="2">
        <v>74.87</v>
      </c>
      <c r="K45" s="95">
        <v>114.97</v>
      </c>
      <c r="L45" s="95">
        <v>12.24</v>
      </c>
      <c r="M45" s="2">
        <v>7.56</v>
      </c>
      <c r="N45" s="90">
        <f t="shared" si="0"/>
        <v>1712.98</v>
      </c>
      <c r="P45" s="52">
        <v>1990</v>
      </c>
      <c r="Q45" s="2">
        <v>5.71</v>
      </c>
      <c r="R45" s="2">
        <v>34.130000000000003</v>
      </c>
      <c r="S45" s="2">
        <v>130.33000000000001</v>
      </c>
      <c r="T45" s="2">
        <v>288.33999999999997</v>
      </c>
      <c r="U45" s="2">
        <v>420.98</v>
      </c>
      <c r="V45" s="4">
        <v>369.74</v>
      </c>
      <c r="W45" s="2">
        <v>152.75</v>
      </c>
      <c r="X45" s="2">
        <v>242.55</v>
      </c>
      <c r="Y45" s="2">
        <v>70.290000000000006</v>
      </c>
      <c r="Z45" s="2">
        <v>69.680000000000007</v>
      </c>
      <c r="AA45" s="2">
        <v>8.64</v>
      </c>
      <c r="AB45" s="2">
        <v>9.52</v>
      </c>
      <c r="AC45" s="4">
        <f t="shared" si="2"/>
        <v>1802.66</v>
      </c>
    </row>
    <row r="46" spans="1:29" x14ac:dyDescent="0.25">
      <c r="A46" s="52">
        <v>1991</v>
      </c>
      <c r="B46" s="2">
        <v>21.1</v>
      </c>
      <c r="C46" s="2">
        <v>20.76</v>
      </c>
      <c r="D46" s="2">
        <v>89.34</v>
      </c>
      <c r="E46" s="2">
        <v>194.21</v>
      </c>
      <c r="F46" s="98">
        <v>42.81</v>
      </c>
      <c r="G46" s="98" t="s">
        <v>13</v>
      </c>
      <c r="H46" s="2">
        <v>381.73</v>
      </c>
      <c r="I46" s="2">
        <v>269.69</v>
      </c>
      <c r="J46" s="2">
        <v>139.16</v>
      </c>
      <c r="K46" s="2">
        <v>79.41</v>
      </c>
      <c r="L46" s="2">
        <v>14.08</v>
      </c>
      <c r="M46" s="2">
        <v>6.38</v>
      </c>
      <c r="N46" s="90">
        <f t="shared" si="0"/>
        <v>1258.6700000000003</v>
      </c>
      <c r="P46" s="52">
        <v>1991</v>
      </c>
      <c r="Q46" s="2">
        <v>20.05</v>
      </c>
      <c r="R46" s="2">
        <v>22.62</v>
      </c>
      <c r="S46" s="2">
        <v>82.78</v>
      </c>
      <c r="T46" s="2">
        <v>168.65</v>
      </c>
      <c r="U46" s="2">
        <v>317.49</v>
      </c>
      <c r="V46" s="2">
        <v>260.44</v>
      </c>
      <c r="W46" s="2">
        <v>398.26</v>
      </c>
      <c r="X46" s="2">
        <v>239.8</v>
      </c>
      <c r="Y46" s="2">
        <v>150.59</v>
      </c>
      <c r="Z46" s="2">
        <v>68.13</v>
      </c>
      <c r="AA46" s="2">
        <v>6.97</v>
      </c>
      <c r="AB46" s="2">
        <v>2.4</v>
      </c>
      <c r="AC46" s="4">
        <f>SUM(Q46:AB46)</f>
        <v>1738.18</v>
      </c>
    </row>
    <row r="47" spans="1:29" x14ac:dyDescent="0.25">
      <c r="A47" s="52">
        <v>1992</v>
      </c>
      <c r="B47" s="98">
        <v>13.15</v>
      </c>
      <c r="C47" s="4">
        <v>16.100000000000001</v>
      </c>
      <c r="D47" s="2">
        <v>54.72</v>
      </c>
      <c r="E47" s="2">
        <v>99.61</v>
      </c>
      <c r="F47" s="98" t="s">
        <v>13</v>
      </c>
      <c r="G47" s="98" t="s">
        <v>13</v>
      </c>
      <c r="H47" s="98" t="s">
        <v>13</v>
      </c>
      <c r="I47" s="2">
        <v>210.96</v>
      </c>
      <c r="J47" s="2">
        <v>81.62</v>
      </c>
      <c r="K47" s="2">
        <v>64.12</v>
      </c>
      <c r="L47" s="2">
        <v>6.78</v>
      </c>
      <c r="M47" s="2">
        <v>10.9</v>
      </c>
      <c r="N47" s="90">
        <f t="shared" si="0"/>
        <v>557.95999999999992</v>
      </c>
      <c r="P47" s="52">
        <v>1992</v>
      </c>
      <c r="Q47" s="2">
        <v>18.34</v>
      </c>
      <c r="R47" s="2">
        <v>18.89</v>
      </c>
      <c r="S47" s="2">
        <v>67.27</v>
      </c>
      <c r="T47" s="2">
        <v>58.18</v>
      </c>
      <c r="U47" s="2">
        <v>324.74</v>
      </c>
      <c r="V47" s="2">
        <v>409.99</v>
      </c>
      <c r="W47" s="2">
        <v>375.87</v>
      </c>
      <c r="X47" s="2">
        <v>217.54</v>
      </c>
      <c r="Y47" s="2">
        <v>74.66</v>
      </c>
      <c r="Z47" s="2">
        <v>58.1</v>
      </c>
      <c r="AA47" s="2">
        <v>13.09</v>
      </c>
      <c r="AB47" s="2">
        <v>11.67</v>
      </c>
      <c r="AC47" s="4">
        <f t="shared" ref="AC47:AC77" si="3">SUM(Q47:AB47)</f>
        <v>1648.3400000000001</v>
      </c>
    </row>
    <row r="48" spans="1:29" x14ac:dyDescent="0.25">
      <c r="A48" s="52">
        <v>1993</v>
      </c>
      <c r="B48" s="8">
        <v>10.029999999999999</v>
      </c>
      <c r="C48" s="8">
        <v>13.45</v>
      </c>
      <c r="D48" s="97" t="s">
        <v>13</v>
      </c>
      <c r="E48" s="97" t="s">
        <v>13</v>
      </c>
      <c r="F48" s="8">
        <v>416.63</v>
      </c>
      <c r="G48" s="8">
        <v>323.07</v>
      </c>
      <c r="H48" s="8">
        <v>216.41</v>
      </c>
      <c r="I48" s="8">
        <v>213.06</v>
      </c>
      <c r="J48" s="8">
        <v>70.58</v>
      </c>
      <c r="K48" s="8">
        <v>49.87</v>
      </c>
      <c r="L48" s="8">
        <v>10.119999999999999</v>
      </c>
      <c r="M48" s="97">
        <v>1.18</v>
      </c>
      <c r="N48" s="90">
        <f t="shared" si="0"/>
        <v>1324.3999999999999</v>
      </c>
      <c r="P48" s="52">
        <v>1993</v>
      </c>
      <c r="Q48" s="8">
        <v>15.55</v>
      </c>
      <c r="R48" s="8">
        <v>35.363300000000002</v>
      </c>
      <c r="S48" s="8">
        <v>92.2</v>
      </c>
      <c r="T48" s="8">
        <v>229.19</v>
      </c>
      <c r="U48" s="8">
        <v>433.07</v>
      </c>
      <c r="V48" s="8">
        <v>321.33</v>
      </c>
      <c r="W48" s="8">
        <v>216.13</v>
      </c>
      <c r="X48" s="8">
        <v>220.17</v>
      </c>
      <c r="Y48" s="8">
        <v>123.27</v>
      </c>
      <c r="Z48" s="8">
        <v>92.66</v>
      </c>
      <c r="AA48" s="8">
        <v>25.56</v>
      </c>
      <c r="AB48" s="8">
        <v>1.92</v>
      </c>
      <c r="AC48" s="4">
        <f t="shared" si="3"/>
        <v>1806.4132999999999</v>
      </c>
    </row>
    <row r="49" spans="1:29" x14ac:dyDescent="0.25">
      <c r="A49" s="52">
        <v>1994</v>
      </c>
      <c r="B49" s="97" t="s">
        <v>13</v>
      </c>
      <c r="C49" s="97" t="s">
        <v>13</v>
      </c>
      <c r="D49" s="97" t="s">
        <v>13</v>
      </c>
      <c r="E49" s="97" t="s">
        <v>13</v>
      </c>
      <c r="F49" s="97" t="s">
        <v>13</v>
      </c>
      <c r="G49" s="97" t="s">
        <v>13</v>
      </c>
      <c r="H49" s="97" t="s">
        <v>13</v>
      </c>
      <c r="I49" s="97" t="s">
        <v>13</v>
      </c>
      <c r="J49" s="8">
        <v>112.88</v>
      </c>
      <c r="K49" s="8">
        <v>70.53</v>
      </c>
      <c r="L49" s="97">
        <v>23.48</v>
      </c>
      <c r="M49" s="97">
        <v>4.5999999999999996</v>
      </c>
      <c r="N49" s="90">
        <f t="shared" si="0"/>
        <v>211.48999999999998</v>
      </c>
      <c r="P49" s="52">
        <v>1994</v>
      </c>
      <c r="Q49" s="8">
        <v>6.54</v>
      </c>
      <c r="R49" s="97" t="s">
        <v>13</v>
      </c>
      <c r="S49" s="8">
        <v>89.27</v>
      </c>
      <c r="T49" s="8">
        <v>144.28</v>
      </c>
      <c r="U49" s="97" t="s">
        <v>13</v>
      </c>
      <c r="V49" s="8">
        <v>385.03</v>
      </c>
      <c r="W49" s="8">
        <v>559.69000000000005</v>
      </c>
      <c r="X49" s="8">
        <v>213.136</v>
      </c>
      <c r="Y49" s="8">
        <v>97.46</v>
      </c>
      <c r="Z49" s="8">
        <v>67.44</v>
      </c>
      <c r="AA49" s="8">
        <v>32.020000000000003</v>
      </c>
      <c r="AB49" s="8">
        <v>6.66</v>
      </c>
      <c r="AC49" s="90">
        <f t="shared" si="3"/>
        <v>1601.5260000000001</v>
      </c>
    </row>
    <row r="50" spans="1:29" x14ac:dyDescent="0.25">
      <c r="A50" s="52">
        <v>1995</v>
      </c>
      <c r="B50" s="2">
        <v>22.39</v>
      </c>
      <c r="C50" s="98" t="s">
        <v>13</v>
      </c>
      <c r="D50" s="2">
        <v>79.430000000000007</v>
      </c>
      <c r="E50" s="98">
        <v>247.43</v>
      </c>
      <c r="F50" s="98">
        <v>314.3</v>
      </c>
      <c r="G50" s="98">
        <v>130.25</v>
      </c>
      <c r="H50" s="98">
        <v>224.2</v>
      </c>
      <c r="I50" s="98" t="s">
        <v>13</v>
      </c>
      <c r="J50" s="98" t="s">
        <v>13</v>
      </c>
      <c r="K50" s="2">
        <v>56.65</v>
      </c>
      <c r="L50" s="2">
        <v>31.62</v>
      </c>
      <c r="M50" s="2">
        <v>15.24</v>
      </c>
      <c r="N50" s="90">
        <f t="shared" si="0"/>
        <v>1121.51</v>
      </c>
      <c r="P50" s="52">
        <v>1995</v>
      </c>
      <c r="Q50" s="98">
        <v>9.15</v>
      </c>
      <c r="R50" s="2">
        <v>29.29</v>
      </c>
      <c r="S50" s="2">
        <v>51.29</v>
      </c>
      <c r="T50" s="2">
        <v>185.03</v>
      </c>
      <c r="U50" s="2">
        <v>203.61</v>
      </c>
      <c r="V50" s="2">
        <v>239.19</v>
      </c>
      <c r="W50" s="2">
        <v>379.59</v>
      </c>
      <c r="X50" s="2">
        <v>339.37</v>
      </c>
      <c r="Y50" s="2">
        <v>102.45</v>
      </c>
      <c r="Z50" s="2">
        <v>73.59</v>
      </c>
      <c r="AA50" s="2">
        <v>20.7</v>
      </c>
      <c r="AB50" s="2">
        <v>17.14</v>
      </c>
      <c r="AC50" s="90">
        <f t="shared" si="3"/>
        <v>1650.4</v>
      </c>
    </row>
    <row r="51" spans="1:29" x14ac:dyDescent="0.25">
      <c r="A51" s="52">
        <v>1996</v>
      </c>
      <c r="B51" s="2">
        <v>21.57</v>
      </c>
      <c r="C51" s="2">
        <v>54.78</v>
      </c>
      <c r="D51" s="2">
        <v>146.15</v>
      </c>
      <c r="E51" s="2">
        <v>225.6</v>
      </c>
      <c r="F51" s="98">
        <v>199.77</v>
      </c>
      <c r="G51" s="2">
        <v>252.12</v>
      </c>
      <c r="H51" s="2">
        <v>273.05</v>
      </c>
      <c r="I51" s="2">
        <v>293.11</v>
      </c>
      <c r="J51" s="2">
        <v>122.56</v>
      </c>
      <c r="K51" s="98" t="s">
        <v>13</v>
      </c>
      <c r="L51" s="2">
        <v>15.4</v>
      </c>
      <c r="M51" s="98">
        <v>16.11</v>
      </c>
      <c r="N51" s="90">
        <f t="shared" si="0"/>
        <v>1620.22</v>
      </c>
      <c r="P51" s="52">
        <v>1996</v>
      </c>
      <c r="Q51" s="2">
        <v>20.77</v>
      </c>
      <c r="R51" s="2">
        <v>52.11</v>
      </c>
      <c r="S51" s="2">
        <v>166.27</v>
      </c>
      <c r="T51" s="98">
        <v>230.24</v>
      </c>
      <c r="U51" s="2">
        <v>221.59</v>
      </c>
      <c r="V51" s="2">
        <v>281.61</v>
      </c>
      <c r="W51" s="2">
        <v>240.31</v>
      </c>
      <c r="X51" s="2">
        <v>329.28</v>
      </c>
      <c r="Y51" s="2">
        <v>106.84</v>
      </c>
      <c r="Z51" s="2">
        <v>45.78</v>
      </c>
      <c r="AA51" s="2">
        <v>19.420000000000002</v>
      </c>
      <c r="AB51" s="2">
        <v>12.2</v>
      </c>
      <c r="AC51" s="90">
        <f t="shared" si="3"/>
        <v>1726.42</v>
      </c>
    </row>
    <row r="52" spans="1:29" x14ac:dyDescent="0.25">
      <c r="A52" s="52">
        <v>1997</v>
      </c>
      <c r="B52" s="97">
        <v>17.739999999999998</v>
      </c>
      <c r="C52" s="8">
        <v>30.37</v>
      </c>
      <c r="D52" s="8">
        <v>132.11000000000001</v>
      </c>
      <c r="E52" s="8">
        <v>153.97</v>
      </c>
      <c r="F52" s="8">
        <v>249.78</v>
      </c>
      <c r="G52" s="97">
        <v>170.24</v>
      </c>
      <c r="H52" s="97">
        <v>94.49</v>
      </c>
      <c r="I52" s="8">
        <v>345.03</v>
      </c>
      <c r="J52" s="8">
        <v>113.22</v>
      </c>
      <c r="K52" s="97">
        <v>7.82</v>
      </c>
      <c r="L52" s="97">
        <v>4.4800000000000004</v>
      </c>
      <c r="M52" s="97">
        <v>10.57</v>
      </c>
      <c r="N52" s="90">
        <f t="shared" si="0"/>
        <v>1329.82</v>
      </c>
      <c r="P52" s="52">
        <v>1997</v>
      </c>
      <c r="Q52" s="8">
        <v>17.079999999999998</v>
      </c>
      <c r="R52" s="8">
        <v>35.409999999999997</v>
      </c>
      <c r="S52" s="8">
        <v>129.84</v>
      </c>
      <c r="T52" s="8">
        <v>177.92</v>
      </c>
      <c r="U52" s="8">
        <v>268.56</v>
      </c>
      <c r="V52" s="8">
        <v>256.76</v>
      </c>
      <c r="W52" s="8">
        <v>289.36</v>
      </c>
      <c r="X52" s="8">
        <v>397.38</v>
      </c>
      <c r="Y52" s="8">
        <v>159.97999999999999</v>
      </c>
      <c r="Z52" s="8">
        <v>26.06</v>
      </c>
      <c r="AA52" s="8">
        <v>5.26</v>
      </c>
      <c r="AB52" s="8">
        <v>10.95</v>
      </c>
      <c r="AC52" s="4">
        <f t="shared" si="3"/>
        <v>1774.56</v>
      </c>
    </row>
    <row r="53" spans="1:29" x14ac:dyDescent="0.25">
      <c r="A53" s="52">
        <v>1998</v>
      </c>
      <c r="B53" s="98">
        <v>10.56</v>
      </c>
      <c r="C53" s="2">
        <v>12.69</v>
      </c>
      <c r="D53" s="2">
        <v>129.52000000000001</v>
      </c>
      <c r="E53" s="2">
        <v>180</v>
      </c>
      <c r="F53" s="98">
        <v>312.45</v>
      </c>
      <c r="G53" s="2">
        <v>187.71</v>
      </c>
      <c r="H53" s="98">
        <v>170.51</v>
      </c>
      <c r="I53" s="98" t="s">
        <v>13</v>
      </c>
      <c r="J53" s="2">
        <v>149.16</v>
      </c>
      <c r="K53" s="2">
        <v>49.34</v>
      </c>
      <c r="L53" s="98">
        <v>20.23</v>
      </c>
      <c r="M53" s="2">
        <v>7.02</v>
      </c>
      <c r="N53" s="90">
        <f t="shared" si="0"/>
        <v>1229.19</v>
      </c>
      <c r="P53" s="52">
        <v>1998</v>
      </c>
      <c r="Q53" s="2">
        <v>15.79</v>
      </c>
      <c r="R53" s="2">
        <v>12.17</v>
      </c>
      <c r="S53" s="2">
        <v>144.55000000000001</v>
      </c>
      <c r="T53" s="2">
        <v>163.09</v>
      </c>
      <c r="U53" s="2">
        <v>270.56</v>
      </c>
      <c r="V53" s="2">
        <v>195.72</v>
      </c>
      <c r="W53" s="2">
        <v>204.15</v>
      </c>
      <c r="X53" s="2">
        <v>138.38999999999999</v>
      </c>
      <c r="Y53" s="2">
        <v>141.75</v>
      </c>
      <c r="Z53" s="2">
        <v>52.89</v>
      </c>
      <c r="AA53" s="2">
        <v>18.25</v>
      </c>
      <c r="AB53" s="2">
        <v>10.17</v>
      </c>
      <c r="AC53" s="4">
        <f t="shared" si="3"/>
        <v>1367.4800000000002</v>
      </c>
    </row>
    <row r="54" spans="1:29" x14ac:dyDescent="0.25">
      <c r="A54" s="52">
        <v>1999</v>
      </c>
      <c r="B54" s="8">
        <v>10.199999999999999</v>
      </c>
      <c r="C54" s="8">
        <v>26.98</v>
      </c>
      <c r="D54" s="97">
        <v>60.49</v>
      </c>
      <c r="E54" s="8">
        <v>87.93</v>
      </c>
      <c r="F54" s="8">
        <v>362.2</v>
      </c>
      <c r="G54" s="97">
        <v>261.17</v>
      </c>
      <c r="H54" s="97">
        <v>289.14</v>
      </c>
      <c r="I54" s="97">
        <v>197.68</v>
      </c>
      <c r="J54" s="8">
        <v>158.52000000000001</v>
      </c>
      <c r="K54" s="8">
        <v>39.26</v>
      </c>
      <c r="L54" s="8">
        <v>9.34</v>
      </c>
      <c r="M54" s="97">
        <v>1.17</v>
      </c>
      <c r="N54" s="90">
        <f t="shared" si="0"/>
        <v>1504.0800000000002</v>
      </c>
      <c r="P54" s="52">
        <v>1999</v>
      </c>
      <c r="Q54" s="8">
        <v>10.72</v>
      </c>
      <c r="R54" s="8">
        <v>24.69</v>
      </c>
      <c r="S54" s="8">
        <v>123.19</v>
      </c>
      <c r="T54" s="8">
        <v>114.65</v>
      </c>
      <c r="U54" s="8">
        <v>317.29000000000002</v>
      </c>
      <c r="V54" s="8">
        <v>317.76</v>
      </c>
      <c r="W54" s="8">
        <v>364.17</v>
      </c>
      <c r="X54" s="8">
        <v>198.36</v>
      </c>
      <c r="Y54" s="8">
        <v>172.71</v>
      </c>
      <c r="Z54" s="8">
        <v>41.11</v>
      </c>
      <c r="AA54" s="8">
        <v>8.49</v>
      </c>
      <c r="AB54" s="8">
        <v>5.84</v>
      </c>
      <c r="AC54" s="4">
        <f t="shared" si="3"/>
        <v>1698.9799999999998</v>
      </c>
    </row>
    <row r="55" spans="1:29" x14ac:dyDescent="0.25">
      <c r="A55" s="52">
        <v>2000</v>
      </c>
      <c r="B55" s="97">
        <v>4.62</v>
      </c>
      <c r="C55" s="97">
        <v>15.86</v>
      </c>
      <c r="D55" s="8">
        <v>73.400000000000006</v>
      </c>
      <c r="E55" s="8">
        <v>184.63</v>
      </c>
      <c r="F55" s="97">
        <v>376.3</v>
      </c>
      <c r="G55" s="97">
        <v>302.92</v>
      </c>
      <c r="H55" s="8">
        <v>229.69</v>
      </c>
      <c r="I55" s="8">
        <v>203.34</v>
      </c>
      <c r="J55" s="97">
        <v>174.53</v>
      </c>
      <c r="K55" s="8">
        <v>56.09</v>
      </c>
      <c r="L55" s="8">
        <v>5.24</v>
      </c>
      <c r="M55" s="8">
        <v>2.29</v>
      </c>
      <c r="N55" s="90">
        <f t="shared" si="0"/>
        <v>1628.9099999999999</v>
      </c>
      <c r="P55" s="52">
        <v>2000</v>
      </c>
      <c r="Q55" s="8">
        <v>11.46</v>
      </c>
      <c r="R55" s="8">
        <v>32.31</v>
      </c>
      <c r="S55" s="8">
        <v>103</v>
      </c>
      <c r="T55" s="8">
        <v>258.8</v>
      </c>
      <c r="U55" s="8">
        <v>392.27</v>
      </c>
      <c r="V55" s="8">
        <v>305.32</v>
      </c>
      <c r="W55" s="8">
        <v>183.81</v>
      </c>
      <c r="X55" s="8">
        <v>212.44</v>
      </c>
      <c r="Y55" s="8">
        <v>188.66</v>
      </c>
      <c r="Z55" s="8">
        <v>103.92</v>
      </c>
      <c r="AA55" s="8">
        <v>3.16</v>
      </c>
      <c r="AB55" s="8">
        <v>1.07</v>
      </c>
      <c r="AC55" s="4">
        <f t="shared" si="3"/>
        <v>1796.2200000000003</v>
      </c>
    </row>
    <row r="56" spans="1:29" x14ac:dyDescent="0.25">
      <c r="A56" s="52">
        <v>2001</v>
      </c>
      <c r="B56" s="8">
        <v>5.97</v>
      </c>
      <c r="C56" s="8">
        <v>41.15</v>
      </c>
      <c r="D56" s="8">
        <v>99.4</v>
      </c>
      <c r="E56" s="8">
        <v>73.09</v>
      </c>
      <c r="F56" s="8">
        <v>403.29</v>
      </c>
      <c r="G56" s="8">
        <v>287.66000000000003</v>
      </c>
      <c r="H56" s="8">
        <v>319.41000000000003</v>
      </c>
      <c r="I56" s="8">
        <v>221.49</v>
      </c>
      <c r="J56" s="97">
        <v>53.34</v>
      </c>
      <c r="K56" s="8">
        <v>42.62</v>
      </c>
      <c r="L56" s="8">
        <v>14.99</v>
      </c>
      <c r="M56" s="97">
        <v>7.15</v>
      </c>
      <c r="N56" s="90">
        <f t="shared" si="0"/>
        <v>1569.5600000000002</v>
      </c>
      <c r="P56" s="52">
        <v>2001</v>
      </c>
      <c r="Q56" s="8">
        <v>5.5</v>
      </c>
      <c r="R56" s="8">
        <v>40.9</v>
      </c>
      <c r="S56" s="8">
        <v>143.02000000000001</v>
      </c>
      <c r="T56" s="8">
        <v>107.09</v>
      </c>
      <c r="U56" s="8">
        <v>335.85</v>
      </c>
      <c r="V56" s="8">
        <v>244.75</v>
      </c>
      <c r="W56" s="8">
        <v>254.59</v>
      </c>
      <c r="X56" s="8">
        <v>206.99</v>
      </c>
      <c r="Y56" s="8">
        <v>83.31</v>
      </c>
      <c r="Z56" s="8">
        <v>51.67</v>
      </c>
      <c r="AA56" s="8">
        <v>22.71</v>
      </c>
      <c r="AB56" s="8">
        <v>15.45</v>
      </c>
      <c r="AC56" s="4">
        <f t="shared" si="3"/>
        <v>1511.8300000000002</v>
      </c>
    </row>
    <row r="57" spans="1:29" x14ac:dyDescent="0.25">
      <c r="A57" s="52">
        <v>2002</v>
      </c>
      <c r="B57" s="8">
        <v>3.36</v>
      </c>
      <c r="C57" s="8">
        <v>17.05</v>
      </c>
      <c r="D57" s="8">
        <v>97.31</v>
      </c>
      <c r="E57" s="97">
        <v>177.03</v>
      </c>
      <c r="F57" s="97">
        <v>328.91</v>
      </c>
      <c r="G57" s="8">
        <v>314.16000000000003</v>
      </c>
      <c r="H57" s="8">
        <v>289.35000000000002</v>
      </c>
      <c r="I57" s="8">
        <v>337.05</v>
      </c>
      <c r="J57" s="8">
        <v>153.33000000000001</v>
      </c>
      <c r="K57" s="8">
        <v>24.36</v>
      </c>
      <c r="L57" s="97">
        <v>15.71</v>
      </c>
      <c r="M57" s="8">
        <v>15.84</v>
      </c>
      <c r="N57" s="90">
        <f t="shared" si="0"/>
        <v>1773.4599999999998</v>
      </c>
      <c r="P57" s="52">
        <v>2002</v>
      </c>
      <c r="Q57" s="8">
        <v>5.18</v>
      </c>
      <c r="R57" s="8">
        <v>30.69</v>
      </c>
      <c r="S57" s="8">
        <v>134.09</v>
      </c>
      <c r="T57" s="8">
        <v>214</v>
      </c>
      <c r="U57" s="8">
        <v>419.57</v>
      </c>
      <c r="V57" s="8">
        <v>340.63</v>
      </c>
      <c r="W57" s="8">
        <v>339.09</v>
      </c>
      <c r="X57" s="8">
        <v>331.97</v>
      </c>
      <c r="Y57" s="8">
        <v>171.69</v>
      </c>
      <c r="Z57" s="8">
        <v>21.44</v>
      </c>
      <c r="AA57" s="8">
        <v>8.18</v>
      </c>
      <c r="AB57" s="8">
        <v>21.22</v>
      </c>
      <c r="AC57" s="4">
        <f t="shared" si="3"/>
        <v>2037.75</v>
      </c>
    </row>
    <row r="58" spans="1:29" x14ac:dyDescent="0.25">
      <c r="A58" s="52">
        <v>2003</v>
      </c>
      <c r="B58" s="97" t="s">
        <v>13</v>
      </c>
      <c r="C58" s="97" t="s">
        <v>13</v>
      </c>
      <c r="D58" s="97" t="s">
        <v>13</v>
      </c>
      <c r="E58" s="97" t="s">
        <v>13</v>
      </c>
      <c r="F58" s="97" t="s">
        <v>13</v>
      </c>
      <c r="G58" s="97" t="s">
        <v>13</v>
      </c>
      <c r="H58" s="97" t="s">
        <v>13</v>
      </c>
      <c r="I58" s="97" t="s">
        <v>13</v>
      </c>
      <c r="J58" s="97" t="s">
        <v>13</v>
      </c>
      <c r="K58" s="97" t="s">
        <v>13</v>
      </c>
      <c r="L58" s="97" t="s">
        <v>13</v>
      </c>
      <c r="M58" s="97" t="s">
        <v>13</v>
      </c>
      <c r="N58" s="90" t="s">
        <v>13</v>
      </c>
      <c r="P58" s="52">
        <v>2003</v>
      </c>
      <c r="Q58" s="8">
        <v>13.8</v>
      </c>
      <c r="R58" s="8">
        <v>37.677599999999998</v>
      </c>
      <c r="S58" s="8">
        <v>156.8844</v>
      </c>
      <c r="T58" s="8">
        <v>227.45160000000001</v>
      </c>
      <c r="U58" s="8">
        <v>243.29159999999999</v>
      </c>
      <c r="V58" s="8">
        <v>345.42720000000003</v>
      </c>
      <c r="W58" s="8">
        <v>320.7672</v>
      </c>
      <c r="X58" s="97">
        <v>240.86519999999999</v>
      </c>
      <c r="Y58" s="97">
        <v>175.33799999999999</v>
      </c>
      <c r="Z58" s="8">
        <v>40.975200000000001</v>
      </c>
      <c r="AA58" s="8">
        <v>2.3595999999999999</v>
      </c>
      <c r="AB58" s="8">
        <v>9.3239999999999998</v>
      </c>
      <c r="AC58" s="90">
        <f t="shared" si="3"/>
        <v>1814.1616000000001</v>
      </c>
    </row>
    <row r="59" spans="1:29" x14ac:dyDescent="0.25">
      <c r="A59" s="52">
        <v>2004</v>
      </c>
      <c r="B59" s="97" t="s">
        <v>13</v>
      </c>
      <c r="C59" s="97" t="s">
        <v>13</v>
      </c>
      <c r="D59" s="97" t="s">
        <v>13</v>
      </c>
      <c r="E59" s="97" t="s">
        <v>13</v>
      </c>
      <c r="F59" s="97" t="s">
        <v>13</v>
      </c>
      <c r="G59" s="97" t="s">
        <v>13</v>
      </c>
      <c r="H59" s="97" t="s">
        <v>13</v>
      </c>
      <c r="I59" s="97" t="s">
        <v>13</v>
      </c>
      <c r="J59" s="97" t="s">
        <v>13</v>
      </c>
      <c r="K59" s="97" t="s">
        <v>13</v>
      </c>
      <c r="L59" s="97" t="s">
        <v>13</v>
      </c>
      <c r="M59" s="97" t="s">
        <v>13</v>
      </c>
      <c r="N59" s="90" t="s">
        <v>13</v>
      </c>
      <c r="P59" s="52">
        <v>2004</v>
      </c>
      <c r="Q59" s="8">
        <v>9.2411999999999992</v>
      </c>
      <c r="R59" s="8">
        <v>34.675199999999997</v>
      </c>
      <c r="S59" s="8">
        <v>82.908000000000001</v>
      </c>
      <c r="T59" s="8">
        <v>303.56639999999999</v>
      </c>
      <c r="U59" s="8">
        <v>245.09379999999999</v>
      </c>
      <c r="V59" s="8">
        <v>233.5932</v>
      </c>
      <c r="W59" s="8">
        <v>229.61359999999999</v>
      </c>
      <c r="X59" s="8">
        <v>240.61320000000001</v>
      </c>
      <c r="Y59" s="8">
        <v>158.13</v>
      </c>
      <c r="Z59" s="8">
        <v>54.648400000000002</v>
      </c>
      <c r="AA59" s="8">
        <v>19.372399999999999</v>
      </c>
      <c r="AB59" s="8">
        <v>8.4920000000000009</v>
      </c>
      <c r="AC59" s="4">
        <f t="shared" si="3"/>
        <v>1619.9474</v>
      </c>
    </row>
    <row r="60" spans="1:29" x14ac:dyDescent="0.25">
      <c r="A60" s="52">
        <v>2005</v>
      </c>
      <c r="B60" s="97" t="s">
        <v>13</v>
      </c>
      <c r="C60" s="97" t="s">
        <v>13</v>
      </c>
      <c r="D60" s="97" t="s">
        <v>13</v>
      </c>
      <c r="E60" s="97" t="s">
        <v>13</v>
      </c>
      <c r="F60" s="97" t="s">
        <v>13</v>
      </c>
      <c r="G60" s="97" t="s">
        <v>13</v>
      </c>
      <c r="H60" s="97" t="s">
        <v>13</v>
      </c>
      <c r="I60" s="97" t="s">
        <v>13</v>
      </c>
      <c r="J60" s="8">
        <v>222.6710564</v>
      </c>
      <c r="K60" s="8">
        <v>143.8042044</v>
      </c>
      <c r="L60" s="8">
        <v>19.643001040000001</v>
      </c>
      <c r="M60" s="8">
        <v>5.9233758480000001</v>
      </c>
      <c r="N60" s="90">
        <f t="shared" si="0"/>
        <v>392.04163768799998</v>
      </c>
      <c r="P60" s="52">
        <v>2005</v>
      </c>
      <c r="Q60" s="8">
        <v>9.2392000000000003</v>
      </c>
      <c r="R60" s="8">
        <v>51.095599999999997</v>
      </c>
      <c r="S60" s="8">
        <v>107.2124</v>
      </c>
      <c r="T60" s="8">
        <v>211.78280000000001</v>
      </c>
      <c r="U60" s="8">
        <v>312.85320000000002</v>
      </c>
      <c r="V60" s="8">
        <v>347.54199999999997</v>
      </c>
      <c r="W60" s="8">
        <v>393.68520000000001</v>
      </c>
      <c r="X60" s="8">
        <v>261.77</v>
      </c>
      <c r="Y60" s="8">
        <v>192.53319999999999</v>
      </c>
      <c r="Z60" s="8">
        <v>104.4144</v>
      </c>
      <c r="AA60" s="8">
        <v>23.514399999999998</v>
      </c>
      <c r="AB60" s="8">
        <v>8.7468000000000004</v>
      </c>
      <c r="AC60" s="4">
        <f t="shared" si="3"/>
        <v>2024.3892000000001</v>
      </c>
    </row>
    <row r="61" spans="1:29" x14ac:dyDescent="0.25">
      <c r="A61" s="52">
        <v>2006</v>
      </c>
      <c r="B61" s="8">
        <v>17.400878639999998</v>
      </c>
      <c r="C61" s="8">
        <v>35.015992199999999</v>
      </c>
      <c r="D61" s="8">
        <v>162.20106944</v>
      </c>
      <c r="E61" s="97">
        <v>131.58039668000001</v>
      </c>
      <c r="F61" s="97">
        <v>288.68913900000001</v>
      </c>
      <c r="G61" s="97">
        <v>480.28635675999999</v>
      </c>
      <c r="H61" s="97">
        <v>532.59244228</v>
      </c>
      <c r="I61" s="8">
        <v>198.09478619999999</v>
      </c>
      <c r="J61" s="8">
        <v>225.88962455999999</v>
      </c>
      <c r="K61" s="8">
        <v>61.011200000000002</v>
      </c>
      <c r="L61" s="8">
        <v>16.607607999999999</v>
      </c>
      <c r="M61" s="8">
        <v>10.4864</v>
      </c>
      <c r="N61" s="90">
        <f t="shared" si="0"/>
        <v>2159.8558937599996</v>
      </c>
      <c r="P61" s="52">
        <v>2006</v>
      </c>
      <c r="Q61" s="8">
        <v>14.51</v>
      </c>
      <c r="R61" s="8">
        <v>23.8</v>
      </c>
      <c r="S61" s="8">
        <v>130.38</v>
      </c>
      <c r="T61" s="8">
        <v>167.55</v>
      </c>
      <c r="U61" s="97">
        <v>139.91</v>
      </c>
      <c r="V61" s="8">
        <v>369.1</v>
      </c>
      <c r="W61" s="8">
        <v>423.89</v>
      </c>
      <c r="X61" s="8">
        <v>89.48</v>
      </c>
      <c r="Y61" s="8">
        <v>207.64</v>
      </c>
      <c r="Z61" s="8">
        <v>53.71</v>
      </c>
      <c r="AA61" s="8">
        <v>3.55</v>
      </c>
      <c r="AB61" s="97">
        <v>5.82</v>
      </c>
      <c r="AC61" s="90">
        <f t="shared" si="3"/>
        <v>1629.3399999999997</v>
      </c>
    </row>
    <row r="62" spans="1:29" x14ac:dyDescent="0.25">
      <c r="A62" s="52">
        <v>2007</v>
      </c>
      <c r="B62" s="8">
        <v>19.731999999999999</v>
      </c>
      <c r="C62" s="8">
        <v>45.300800000000002</v>
      </c>
      <c r="D62" s="8">
        <v>136.6688</v>
      </c>
      <c r="E62" s="8">
        <v>364.9588</v>
      </c>
      <c r="F62" s="97">
        <v>319.75959999999998</v>
      </c>
      <c r="G62" s="97">
        <v>386.85840000000002</v>
      </c>
      <c r="H62" s="8">
        <v>285.68439999999998</v>
      </c>
      <c r="I62" s="8">
        <v>265.88440000000003</v>
      </c>
      <c r="J62" s="8">
        <v>184.4676</v>
      </c>
      <c r="K62" s="8">
        <v>70.509600000000006</v>
      </c>
      <c r="L62" s="8">
        <v>8.5404</v>
      </c>
      <c r="M62" s="8">
        <v>9.9632000000000005</v>
      </c>
      <c r="N62" s="90">
        <f t="shared" si="0"/>
        <v>2098.3279999999995</v>
      </c>
      <c r="P62" s="52">
        <v>2007</v>
      </c>
      <c r="Q62" s="8">
        <v>18.64</v>
      </c>
      <c r="R62" s="8">
        <v>44.48</v>
      </c>
      <c r="S62" s="8">
        <v>127</v>
      </c>
      <c r="T62" s="8">
        <v>279.64</v>
      </c>
      <c r="U62" s="8">
        <v>240.62</v>
      </c>
      <c r="V62" s="8">
        <v>304.38</v>
      </c>
      <c r="W62" s="8">
        <v>207.37</v>
      </c>
      <c r="X62" s="8">
        <v>156.41999999999999</v>
      </c>
      <c r="Y62" s="8">
        <v>145.19999999999999</v>
      </c>
      <c r="Z62" s="8">
        <v>49.74</v>
      </c>
      <c r="AA62" s="8">
        <v>14.18</v>
      </c>
      <c r="AB62" s="8">
        <v>5.47</v>
      </c>
      <c r="AC62" s="4">
        <f t="shared" si="3"/>
        <v>1593.1400000000003</v>
      </c>
    </row>
    <row r="63" spans="1:29" x14ac:dyDescent="0.25">
      <c r="A63" s="52">
        <v>2008</v>
      </c>
      <c r="B63" s="2">
        <v>13.43</v>
      </c>
      <c r="C63" s="2">
        <v>35.409999999999997</v>
      </c>
      <c r="D63" s="98">
        <v>75.23</v>
      </c>
      <c r="E63" s="2">
        <v>162.07</v>
      </c>
      <c r="F63" s="98">
        <v>304.88</v>
      </c>
      <c r="G63" s="97">
        <v>281.98</v>
      </c>
      <c r="H63" s="98">
        <v>356.72</v>
      </c>
      <c r="I63" s="2">
        <v>144.80000000000001</v>
      </c>
      <c r="J63" s="2">
        <v>103.79</v>
      </c>
      <c r="K63" s="98">
        <v>70.790000000000006</v>
      </c>
      <c r="L63" s="98">
        <v>18.07</v>
      </c>
      <c r="M63" s="2">
        <v>6.97</v>
      </c>
      <c r="N63" s="90">
        <f t="shared" si="0"/>
        <v>1574.1399999999999</v>
      </c>
      <c r="P63" s="52">
        <v>2008</v>
      </c>
      <c r="Q63" s="2">
        <v>12.02</v>
      </c>
      <c r="R63" s="2">
        <v>23.75</v>
      </c>
      <c r="S63" s="2">
        <v>78.81</v>
      </c>
      <c r="T63" s="2">
        <v>181.66</v>
      </c>
      <c r="U63" s="2">
        <v>272.14999999999998</v>
      </c>
      <c r="V63" s="8">
        <v>300</v>
      </c>
      <c r="W63" s="2">
        <v>254.01</v>
      </c>
      <c r="X63" s="2">
        <v>148.1</v>
      </c>
      <c r="Y63" s="2">
        <v>106.96</v>
      </c>
      <c r="Z63" s="2">
        <v>32.409999999999997</v>
      </c>
      <c r="AA63" s="2">
        <v>17.52</v>
      </c>
      <c r="AB63" s="2">
        <v>4.0199999999999996</v>
      </c>
      <c r="AC63" s="4">
        <f t="shared" si="3"/>
        <v>1431.41</v>
      </c>
    </row>
    <row r="64" spans="1:29" x14ac:dyDescent="0.25">
      <c r="A64" s="52">
        <v>2009</v>
      </c>
      <c r="B64" s="8">
        <v>14.52</v>
      </c>
      <c r="C64" s="8">
        <v>28.21</v>
      </c>
      <c r="D64" s="8">
        <v>64.86</v>
      </c>
      <c r="E64" s="8">
        <v>354.06</v>
      </c>
      <c r="F64" s="8">
        <v>308.32</v>
      </c>
      <c r="G64" s="8">
        <v>174.49</v>
      </c>
      <c r="H64" s="8">
        <v>276.25</v>
      </c>
      <c r="I64" s="8">
        <v>233.01</v>
      </c>
      <c r="J64" s="8">
        <v>141.24</v>
      </c>
      <c r="K64" s="97">
        <v>34.5</v>
      </c>
      <c r="L64" s="8">
        <v>11.16</v>
      </c>
      <c r="M64" s="8">
        <v>3.2</v>
      </c>
      <c r="N64" s="90">
        <f t="shared" si="0"/>
        <v>1643.8200000000002</v>
      </c>
      <c r="P64" s="52">
        <v>2009</v>
      </c>
      <c r="Q64" s="8">
        <v>15.74</v>
      </c>
      <c r="R64" s="8">
        <v>38.6</v>
      </c>
      <c r="S64" s="8">
        <v>49.89</v>
      </c>
      <c r="T64" s="8">
        <v>354.85</v>
      </c>
      <c r="U64" s="8">
        <v>346.55</v>
      </c>
      <c r="V64" s="8">
        <v>185.08</v>
      </c>
      <c r="W64" s="8">
        <v>205.64</v>
      </c>
      <c r="X64" s="8">
        <v>289.06</v>
      </c>
      <c r="Y64" s="8">
        <v>192.26</v>
      </c>
      <c r="Z64" s="8">
        <v>42.48</v>
      </c>
      <c r="AA64" s="8">
        <v>15.25</v>
      </c>
      <c r="AB64" s="8">
        <v>3.05</v>
      </c>
      <c r="AC64" s="4">
        <f t="shared" si="3"/>
        <v>1738.45</v>
      </c>
    </row>
    <row r="65" spans="1:29" x14ac:dyDescent="0.25">
      <c r="A65" s="52">
        <v>2010</v>
      </c>
      <c r="B65" s="2">
        <v>20.29</v>
      </c>
      <c r="C65" s="2">
        <v>16.59</v>
      </c>
      <c r="D65" s="2">
        <v>97.28</v>
      </c>
      <c r="E65" s="2">
        <v>221.15</v>
      </c>
      <c r="F65" s="2">
        <v>177.44</v>
      </c>
      <c r="G65" s="2">
        <v>313.91000000000003</v>
      </c>
      <c r="H65" s="2">
        <v>331.54</v>
      </c>
      <c r="I65" s="2">
        <v>196.59</v>
      </c>
      <c r="J65" s="2">
        <v>153.05000000000001</v>
      </c>
      <c r="K65" s="98">
        <v>108.55</v>
      </c>
      <c r="L65" s="98">
        <v>5.5</v>
      </c>
      <c r="M65" s="98">
        <v>6.48</v>
      </c>
      <c r="N65" s="90">
        <f t="shared" si="0"/>
        <v>1648.37</v>
      </c>
      <c r="P65" s="52">
        <v>2010</v>
      </c>
      <c r="Q65" s="2">
        <v>22.2</v>
      </c>
      <c r="R65" s="2">
        <v>14.89</v>
      </c>
      <c r="S65" s="2">
        <v>98.81</v>
      </c>
      <c r="T65" s="2">
        <v>172.12</v>
      </c>
      <c r="U65" s="2">
        <v>172.45</v>
      </c>
      <c r="V65" s="2">
        <v>275.19</v>
      </c>
      <c r="W65" s="2">
        <v>301.83</v>
      </c>
      <c r="X65" s="2">
        <v>178.74</v>
      </c>
      <c r="Y65" s="2">
        <v>110.63</v>
      </c>
      <c r="Z65" s="2">
        <v>117.7</v>
      </c>
      <c r="AA65" s="2">
        <v>11.03</v>
      </c>
      <c r="AB65" s="2">
        <v>6.39</v>
      </c>
      <c r="AC65" s="4">
        <f t="shared" si="3"/>
        <v>1481.9800000000002</v>
      </c>
    </row>
    <row r="66" spans="1:29" x14ac:dyDescent="0.25">
      <c r="A66" s="52">
        <v>2011</v>
      </c>
      <c r="B66" s="97">
        <v>11.24</v>
      </c>
      <c r="C66" s="8">
        <v>101.64</v>
      </c>
      <c r="D66" s="8">
        <v>151.94</v>
      </c>
      <c r="E66" s="8">
        <v>242.95</v>
      </c>
      <c r="F66" s="8">
        <v>258.01</v>
      </c>
      <c r="G66" s="8">
        <v>325.44</v>
      </c>
      <c r="H66" s="8">
        <v>134.51</v>
      </c>
      <c r="I66" s="8">
        <v>197.9</v>
      </c>
      <c r="J66" s="8">
        <v>147.32</v>
      </c>
      <c r="K66" s="8">
        <v>87.2</v>
      </c>
      <c r="L66" s="8">
        <v>26.46</v>
      </c>
      <c r="M66" s="8">
        <v>7.54</v>
      </c>
      <c r="N66" s="90">
        <f t="shared" si="0"/>
        <v>1692.15</v>
      </c>
      <c r="P66" s="52">
        <v>2011</v>
      </c>
      <c r="Q66" s="8">
        <v>6.5</v>
      </c>
      <c r="R66" s="8">
        <v>82.43</v>
      </c>
      <c r="S66" s="8">
        <v>165.83</v>
      </c>
      <c r="T66" s="8">
        <v>194.27</v>
      </c>
      <c r="U66" s="8">
        <v>231.91</v>
      </c>
      <c r="V66" s="8">
        <v>305.55</v>
      </c>
      <c r="W66" s="8">
        <v>183.19</v>
      </c>
      <c r="X66" s="8">
        <v>215.17</v>
      </c>
      <c r="Y66" s="97">
        <v>117.45</v>
      </c>
      <c r="Z66" s="8">
        <v>71.78</v>
      </c>
      <c r="AA66" s="8">
        <v>24.69</v>
      </c>
      <c r="AB66" s="8">
        <v>3.96</v>
      </c>
      <c r="AC66" s="90">
        <f t="shared" si="3"/>
        <v>1602.7300000000002</v>
      </c>
    </row>
    <row r="67" spans="1:29" x14ac:dyDescent="0.25">
      <c r="A67" s="52">
        <v>2012</v>
      </c>
      <c r="B67" s="8">
        <v>17.28</v>
      </c>
      <c r="C67" s="8">
        <v>60.79</v>
      </c>
      <c r="D67" s="8">
        <v>134.84</v>
      </c>
      <c r="E67" s="8">
        <v>210.8</v>
      </c>
      <c r="F67" s="8">
        <v>364.98</v>
      </c>
      <c r="G67" s="8">
        <v>214.32</v>
      </c>
      <c r="H67" s="8">
        <v>244.14</v>
      </c>
      <c r="I67" s="97">
        <v>143.72</v>
      </c>
      <c r="J67" s="97" t="s">
        <v>13</v>
      </c>
      <c r="K67" s="97">
        <v>46.48</v>
      </c>
      <c r="L67" s="8">
        <v>11.95</v>
      </c>
      <c r="M67" s="8">
        <v>7.97</v>
      </c>
      <c r="N67" s="90">
        <f t="shared" si="0"/>
        <v>1457.2700000000002</v>
      </c>
      <c r="P67" s="52">
        <v>2012</v>
      </c>
      <c r="Q67" s="8">
        <v>18.3</v>
      </c>
      <c r="R67" s="8">
        <v>50.24</v>
      </c>
      <c r="S67" s="8">
        <v>74.349999999999994</v>
      </c>
      <c r="T67" s="8">
        <v>231.63</v>
      </c>
      <c r="U67" s="8">
        <v>382.19</v>
      </c>
      <c r="V67" s="8">
        <v>197.3</v>
      </c>
      <c r="W67" s="8">
        <v>271.12</v>
      </c>
      <c r="X67" s="8">
        <v>153.26</v>
      </c>
      <c r="Y67" s="8">
        <v>99.49</v>
      </c>
      <c r="Z67" s="8">
        <v>55.2</v>
      </c>
      <c r="AA67" s="8">
        <v>7.86</v>
      </c>
      <c r="AB67" s="8">
        <v>10.42</v>
      </c>
      <c r="AC67" s="4">
        <f t="shared" si="3"/>
        <v>1551.3600000000001</v>
      </c>
    </row>
    <row r="68" spans="1:29" x14ac:dyDescent="0.25">
      <c r="A68" s="52">
        <v>2013</v>
      </c>
      <c r="B68" s="8">
        <v>13.79</v>
      </c>
      <c r="C68" s="8">
        <v>10.029999999999999</v>
      </c>
      <c r="D68" s="8">
        <v>195.63</v>
      </c>
      <c r="E68" s="8">
        <v>197.32</v>
      </c>
      <c r="F68" s="97">
        <v>274.55</v>
      </c>
      <c r="G68" s="97">
        <v>213.74</v>
      </c>
      <c r="H68" s="97" t="s">
        <v>13</v>
      </c>
      <c r="I68" s="97">
        <v>213.85</v>
      </c>
      <c r="J68" s="97">
        <v>80.13</v>
      </c>
      <c r="K68" s="97" t="s">
        <v>13</v>
      </c>
      <c r="L68" s="97" t="s">
        <v>13</v>
      </c>
      <c r="M68" s="97">
        <v>4.1399999999999997</v>
      </c>
      <c r="N68" s="90">
        <f t="shared" si="0"/>
        <v>1203.18</v>
      </c>
      <c r="P68" s="52">
        <v>2013</v>
      </c>
      <c r="Q68" s="97">
        <v>15.1</v>
      </c>
      <c r="R68" s="8">
        <v>17.09</v>
      </c>
      <c r="S68" s="8">
        <v>199.07</v>
      </c>
      <c r="T68" s="8">
        <v>205.8</v>
      </c>
      <c r="U68" s="8">
        <v>290.19</v>
      </c>
      <c r="V68" s="8">
        <v>258.39</v>
      </c>
      <c r="W68" s="8">
        <v>188.62</v>
      </c>
      <c r="X68" s="8">
        <v>276.20999999999998</v>
      </c>
      <c r="Y68" s="8">
        <v>134.91</v>
      </c>
      <c r="Z68" s="8">
        <v>43</v>
      </c>
      <c r="AA68" s="8">
        <v>10.17</v>
      </c>
      <c r="AB68" s="8">
        <v>13.51</v>
      </c>
      <c r="AC68" s="90">
        <f t="shared" si="3"/>
        <v>1652.0600000000002</v>
      </c>
    </row>
    <row r="69" spans="1:29" x14ac:dyDescent="0.25">
      <c r="A69" s="52">
        <v>2014</v>
      </c>
      <c r="B69" s="2">
        <v>31.3</v>
      </c>
      <c r="C69" s="2">
        <v>37.880000000000003</v>
      </c>
      <c r="D69" s="2">
        <v>125.51</v>
      </c>
      <c r="E69" s="98">
        <v>236.86</v>
      </c>
      <c r="F69" s="2">
        <v>268.45999999999998</v>
      </c>
      <c r="G69" s="2">
        <v>304.52999999999997</v>
      </c>
      <c r="H69" s="2">
        <v>453.6</v>
      </c>
      <c r="I69" s="2">
        <v>232.19</v>
      </c>
      <c r="J69" s="2">
        <v>219.64</v>
      </c>
      <c r="K69" s="2">
        <v>68.349999999999994</v>
      </c>
      <c r="L69" s="98">
        <v>7.09</v>
      </c>
      <c r="M69" s="2">
        <v>6.72</v>
      </c>
      <c r="N69" s="90">
        <f t="shared" si="0"/>
        <v>1992.1299999999997</v>
      </c>
      <c r="P69" s="52">
        <v>2014</v>
      </c>
      <c r="Q69" s="2">
        <v>35.049999999999997</v>
      </c>
      <c r="R69" s="2">
        <v>32.79</v>
      </c>
      <c r="S69" s="2">
        <v>116.15</v>
      </c>
      <c r="T69" s="2">
        <v>282.18</v>
      </c>
      <c r="U69" s="2">
        <v>240.22</v>
      </c>
      <c r="V69" s="2">
        <v>188.76</v>
      </c>
      <c r="W69" s="2">
        <v>364.48</v>
      </c>
      <c r="X69" s="2">
        <v>149.82</v>
      </c>
      <c r="Y69" s="2">
        <v>198.91</v>
      </c>
      <c r="Z69" s="2">
        <v>100.28</v>
      </c>
      <c r="AA69" s="2">
        <v>14.84</v>
      </c>
      <c r="AB69" s="2">
        <v>16.32</v>
      </c>
      <c r="AC69" s="4">
        <f t="shared" si="3"/>
        <v>1739.8</v>
      </c>
    </row>
    <row r="70" spans="1:29" x14ac:dyDescent="0.25">
      <c r="A70" s="52">
        <v>2015</v>
      </c>
      <c r="B70" s="8">
        <v>9.34</v>
      </c>
      <c r="C70" s="8">
        <v>31.78</v>
      </c>
      <c r="D70" s="8">
        <v>110.61</v>
      </c>
      <c r="E70" s="8">
        <v>187.56</v>
      </c>
      <c r="F70" s="97">
        <v>310.31</v>
      </c>
      <c r="G70" s="8">
        <v>411.57</v>
      </c>
      <c r="H70" s="8">
        <v>309.16000000000003</v>
      </c>
      <c r="I70" s="97">
        <v>240.28</v>
      </c>
      <c r="J70" s="8">
        <v>170.23</v>
      </c>
      <c r="K70" s="8">
        <v>121.9</v>
      </c>
      <c r="L70" s="8">
        <v>14.22</v>
      </c>
      <c r="M70" s="8">
        <v>14.77</v>
      </c>
      <c r="N70" s="90">
        <f t="shared" si="0"/>
        <v>1931.7300000000002</v>
      </c>
      <c r="P70" s="52">
        <v>2015</v>
      </c>
      <c r="Q70" s="8">
        <v>9.0299999999999994</v>
      </c>
      <c r="R70" s="8">
        <v>40.86</v>
      </c>
      <c r="S70" s="8">
        <v>119</v>
      </c>
      <c r="T70" s="8">
        <v>215.05</v>
      </c>
      <c r="U70" s="8">
        <v>281.45</v>
      </c>
      <c r="V70" s="8">
        <v>414.88</v>
      </c>
      <c r="W70" s="8">
        <v>347.01</v>
      </c>
      <c r="X70" s="8">
        <v>476.3</v>
      </c>
      <c r="Y70" s="8">
        <v>169.19</v>
      </c>
      <c r="Z70" s="8">
        <v>122.57</v>
      </c>
      <c r="AA70" s="8">
        <v>12.27</v>
      </c>
      <c r="AB70" s="8">
        <v>19.64</v>
      </c>
      <c r="AC70" s="4">
        <f t="shared" si="3"/>
        <v>2227.25</v>
      </c>
    </row>
    <row r="71" spans="1:29" x14ac:dyDescent="0.25">
      <c r="A71" s="52">
        <v>2016</v>
      </c>
      <c r="B71" s="8">
        <v>21.11</v>
      </c>
      <c r="C71" s="8">
        <v>39.86</v>
      </c>
      <c r="D71" s="8">
        <v>83.71</v>
      </c>
      <c r="E71" s="97">
        <v>110.54</v>
      </c>
      <c r="F71" s="97">
        <v>378.11</v>
      </c>
      <c r="G71" s="97">
        <v>413.2</v>
      </c>
      <c r="H71" s="8">
        <v>283.18</v>
      </c>
      <c r="I71" s="8">
        <v>219.43</v>
      </c>
      <c r="J71" s="8">
        <v>234</v>
      </c>
      <c r="K71" s="8">
        <v>40.619999999999997</v>
      </c>
      <c r="L71" s="8">
        <v>7.38</v>
      </c>
      <c r="M71" s="8">
        <v>6.45</v>
      </c>
      <c r="N71" s="90">
        <f t="shared" si="0"/>
        <v>1837.5900000000001</v>
      </c>
      <c r="P71" s="52">
        <v>2016</v>
      </c>
      <c r="Q71" s="8">
        <v>24.09</v>
      </c>
      <c r="R71" s="8">
        <v>30.44</v>
      </c>
      <c r="S71" s="8">
        <v>94.46</v>
      </c>
      <c r="T71" s="8">
        <v>157.81</v>
      </c>
      <c r="U71" s="8">
        <v>429.23</v>
      </c>
      <c r="V71" s="8">
        <v>387.61</v>
      </c>
      <c r="W71" s="8">
        <v>238.82</v>
      </c>
      <c r="X71" s="8">
        <v>251.94</v>
      </c>
      <c r="Y71" s="8">
        <v>200.26</v>
      </c>
      <c r="Z71" s="97">
        <v>54.45</v>
      </c>
      <c r="AA71" s="8">
        <v>12.48</v>
      </c>
      <c r="AB71" s="8">
        <v>10.62</v>
      </c>
      <c r="AC71" s="90">
        <f t="shared" si="3"/>
        <v>1892.2099999999998</v>
      </c>
    </row>
    <row r="72" spans="1:29" x14ac:dyDescent="0.25">
      <c r="A72" s="52">
        <v>2017</v>
      </c>
      <c r="B72" s="2">
        <v>12.34</v>
      </c>
      <c r="C72" s="2">
        <v>21.44</v>
      </c>
      <c r="D72" s="2">
        <v>140.53</v>
      </c>
      <c r="E72" s="2">
        <v>185.91</v>
      </c>
      <c r="F72" s="2">
        <v>413.39</v>
      </c>
      <c r="G72" s="2">
        <v>352.19</v>
      </c>
      <c r="H72" s="2">
        <v>278.92</v>
      </c>
      <c r="I72" s="2">
        <v>268.45</v>
      </c>
      <c r="J72" s="2">
        <v>124.29</v>
      </c>
      <c r="K72" s="2">
        <v>55.55</v>
      </c>
      <c r="L72" s="2">
        <v>12.82</v>
      </c>
      <c r="M72" s="2">
        <v>8.1300000000000008</v>
      </c>
      <c r="N72" s="4">
        <f t="shared" si="0"/>
        <v>1873.96</v>
      </c>
      <c r="P72" s="52">
        <v>2017</v>
      </c>
      <c r="Q72" s="2">
        <v>17.100000000000001</v>
      </c>
      <c r="R72" s="2">
        <v>24.03</v>
      </c>
      <c r="S72" s="2">
        <v>82.34</v>
      </c>
      <c r="T72" s="2">
        <v>137.88999999999999</v>
      </c>
      <c r="U72" s="2">
        <v>426.79</v>
      </c>
      <c r="V72" s="2">
        <v>293.11</v>
      </c>
      <c r="W72" s="2">
        <v>300.83999999999997</v>
      </c>
      <c r="X72" s="2">
        <v>269.39</v>
      </c>
      <c r="Y72" s="98">
        <v>105.3</v>
      </c>
      <c r="Z72" s="2">
        <v>43.67</v>
      </c>
      <c r="AA72" s="2">
        <v>4.9000000000000004</v>
      </c>
      <c r="AB72" s="2">
        <v>8.49</v>
      </c>
      <c r="AC72" s="90">
        <f t="shared" si="3"/>
        <v>1713.8500000000004</v>
      </c>
    </row>
    <row r="73" spans="1:29" x14ac:dyDescent="0.25">
      <c r="A73" s="52">
        <v>2018</v>
      </c>
      <c r="B73" s="8">
        <v>4.54</v>
      </c>
      <c r="C73" s="8">
        <v>55.52</v>
      </c>
      <c r="D73" s="8">
        <v>50.72</v>
      </c>
      <c r="E73" s="97">
        <v>86.94</v>
      </c>
      <c r="F73" s="97" t="s">
        <v>13</v>
      </c>
      <c r="G73" s="8">
        <v>403.78</v>
      </c>
      <c r="H73" s="97" t="s">
        <v>13</v>
      </c>
      <c r="I73" s="97" t="s">
        <v>13</v>
      </c>
      <c r="J73" s="97" t="s">
        <v>13</v>
      </c>
      <c r="K73" s="97" t="s">
        <v>13</v>
      </c>
      <c r="L73" s="8">
        <v>8.8800000000000008</v>
      </c>
      <c r="M73" s="8">
        <v>4.3</v>
      </c>
      <c r="N73" s="90">
        <f t="shared" si="0"/>
        <v>614.67999999999995</v>
      </c>
      <c r="P73" s="52">
        <v>2018</v>
      </c>
      <c r="Q73" s="8">
        <v>11.51</v>
      </c>
      <c r="R73" s="97">
        <v>33.22</v>
      </c>
      <c r="S73" s="97">
        <v>71.56</v>
      </c>
      <c r="T73" s="97" t="s">
        <v>13</v>
      </c>
      <c r="U73" s="97" t="s">
        <v>13</v>
      </c>
      <c r="V73" s="97" t="s">
        <v>13</v>
      </c>
      <c r="W73" s="97" t="s">
        <v>13</v>
      </c>
      <c r="X73" s="8">
        <v>257.23</v>
      </c>
      <c r="Y73" s="8">
        <v>116.14</v>
      </c>
      <c r="Z73" s="8">
        <v>108.19</v>
      </c>
      <c r="AA73" s="8">
        <v>7.64</v>
      </c>
      <c r="AB73" s="8">
        <v>2.17</v>
      </c>
      <c r="AC73" s="90">
        <f t="shared" si="3"/>
        <v>607.65999999999985</v>
      </c>
    </row>
    <row r="74" spans="1:29" x14ac:dyDescent="0.25">
      <c r="A74" s="52">
        <v>2019</v>
      </c>
      <c r="B74" s="2">
        <v>10.68</v>
      </c>
      <c r="C74" s="2">
        <v>49.03</v>
      </c>
      <c r="D74" s="2">
        <v>66.88</v>
      </c>
      <c r="E74" s="2">
        <v>365.11</v>
      </c>
      <c r="F74" s="8">
        <v>241.11</v>
      </c>
      <c r="G74" s="8">
        <v>472.22</v>
      </c>
      <c r="H74" s="8">
        <v>294.72000000000003</v>
      </c>
      <c r="I74" s="8">
        <v>266.08999999999997</v>
      </c>
      <c r="J74" s="8">
        <v>130.61000000000001</v>
      </c>
      <c r="K74" s="2">
        <v>51.29</v>
      </c>
      <c r="L74" s="98">
        <v>0.57999999999999996</v>
      </c>
      <c r="M74" s="97" t="s">
        <v>13</v>
      </c>
      <c r="N74" s="90">
        <f t="shared" si="0"/>
        <v>1948.3200000000002</v>
      </c>
      <c r="P74" s="52">
        <v>2019</v>
      </c>
      <c r="Q74" s="2">
        <v>5.59</v>
      </c>
      <c r="R74" s="4">
        <v>35</v>
      </c>
      <c r="S74" s="2">
        <v>45.32</v>
      </c>
      <c r="T74" s="98">
        <v>50.68</v>
      </c>
      <c r="U74" s="97" t="s">
        <v>13</v>
      </c>
      <c r="V74" s="97" t="s">
        <v>13</v>
      </c>
      <c r="W74" s="97" t="s">
        <v>13</v>
      </c>
      <c r="X74" s="97" t="s">
        <v>13</v>
      </c>
      <c r="Y74" s="97" t="s">
        <v>13</v>
      </c>
      <c r="Z74" s="2">
        <v>51.83</v>
      </c>
      <c r="AA74" s="2">
        <v>0.17</v>
      </c>
      <c r="AB74" s="97" t="s">
        <v>13</v>
      </c>
      <c r="AC74" s="90">
        <f t="shared" si="3"/>
        <v>188.59</v>
      </c>
    </row>
    <row r="75" spans="1:29" x14ac:dyDescent="0.25">
      <c r="A75" s="52">
        <v>2020</v>
      </c>
      <c r="B75" s="98" t="s">
        <v>13</v>
      </c>
      <c r="C75" s="8">
        <v>14.31</v>
      </c>
      <c r="D75" s="8">
        <v>124.03</v>
      </c>
      <c r="E75" s="97">
        <v>175.35</v>
      </c>
      <c r="F75" s="8">
        <v>425.58</v>
      </c>
      <c r="G75" s="8">
        <v>331.94</v>
      </c>
      <c r="H75" s="8">
        <v>333.69</v>
      </c>
      <c r="I75" s="8">
        <v>279.99</v>
      </c>
      <c r="J75" s="8">
        <v>189.34</v>
      </c>
      <c r="K75" s="8">
        <v>47.41</v>
      </c>
      <c r="L75" s="97">
        <v>6.18</v>
      </c>
      <c r="M75" s="97" t="s">
        <v>13</v>
      </c>
      <c r="N75" s="90">
        <f t="shared" si="0"/>
        <v>1927.8200000000002</v>
      </c>
      <c r="P75" s="52">
        <v>2020</v>
      </c>
      <c r="Q75" s="98" t="s">
        <v>13</v>
      </c>
      <c r="R75" s="8">
        <v>34.130000000000003</v>
      </c>
      <c r="S75" s="97">
        <v>173.96</v>
      </c>
      <c r="T75" s="8">
        <v>254.44</v>
      </c>
      <c r="U75" s="8">
        <v>339.13</v>
      </c>
      <c r="V75" s="8">
        <v>390.5</v>
      </c>
      <c r="W75" s="8">
        <v>328.13</v>
      </c>
      <c r="X75" s="8">
        <v>348.14</v>
      </c>
      <c r="Y75" s="8">
        <v>205.07</v>
      </c>
      <c r="Z75" s="8">
        <v>34.71</v>
      </c>
      <c r="AA75" s="8">
        <v>11.84</v>
      </c>
      <c r="AB75" s="8">
        <v>8.59</v>
      </c>
      <c r="AC75" s="90">
        <f t="shared" si="3"/>
        <v>2128.6400000000003</v>
      </c>
    </row>
    <row r="76" spans="1:29" x14ac:dyDescent="0.25">
      <c r="A76" s="52">
        <v>2021</v>
      </c>
      <c r="B76" s="90" t="s">
        <v>13</v>
      </c>
      <c r="C76" s="4">
        <v>57.72</v>
      </c>
      <c r="D76" s="4">
        <v>108.33</v>
      </c>
      <c r="E76" s="4">
        <v>192.63</v>
      </c>
      <c r="F76" s="4">
        <v>356.59</v>
      </c>
      <c r="G76" s="90">
        <v>447.46</v>
      </c>
      <c r="H76" s="4">
        <v>402.18</v>
      </c>
      <c r="I76" s="4">
        <v>215.65</v>
      </c>
      <c r="J76" s="4">
        <v>197.45</v>
      </c>
      <c r="K76" s="4">
        <v>97.8</v>
      </c>
      <c r="L76" s="4">
        <v>22.27</v>
      </c>
      <c r="M76" s="90">
        <v>16.149999999999999</v>
      </c>
      <c r="N76" s="90">
        <f t="shared" si="0"/>
        <v>2114.2300000000005</v>
      </c>
      <c r="P76" s="52">
        <v>2021</v>
      </c>
      <c r="Q76" s="4">
        <v>8.6000000000000014</v>
      </c>
      <c r="R76" s="4">
        <v>58.86</v>
      </c>
      <c r="S76" s="4">
        <v>114.96</v>
      </c>
      <c r="T76" s="4">
        <v>164.02</v>
      </c>
      <c r="U76" s="4">
        <v>292.53999999999996</v>
      </c>
      <c r="V76" s="90">
        <v>434.95</v>
      </c>
      <c r="W76" s="4">
        <v>394.45</v>
      </c>
      <c r="X76" s="4">
        <v>178.86</v>
      </c>
      <c r="Y76" s="4">
        <v>154.32</v>
      </c>
      <c r="Z76" s="4">
        <v>109.99999999999999</v>
      </c>
      <c r="AA76" s="4">
        <v>21.450000000000003</v>
      </c>
      <c r="AB76" s="4">
        <v>11.28</v>
      </c>
      <c r="AC76" s="90">
        <f t="shared" si="3"/>
        <v>1944.2900000000002</v>
      </c>
    </row>
    <row r="77" spans="1:29" x14ac:dyDescent="0.25">
      <c r="A77" s="52">
        <v>2022</v>
      </c>
      <c r="B77" s="4">
        <v>14.8</v>
      </c>
      <c r="C77" s="4">
        <v>44.11</v>
      </c>
      <c r="D77" s="4">
        <v>253.61</v>
      </c>
      <c r="E77" s="4">
        <v>268.24</v>
      </c>
      <c r="F77" s="4">
        <v>340.83</v>
      </c>
      <c r="G77" s="90">
        <v>399.66</v>
      </c>
      <c r="H77" s="4">
        <v>292.54000000000002</v>
      </c>
      <c r="I77" s="4">
        <v>319.31</v>
      </c>
      <c r="J77" s="4">
        <v>175.81</v>
      </c>
      <c r="K77" s="4">
        <v>81.209999999999994</v>
      </c>
      <c r="L77" s="4">
        <v>11.49</v>
      </c>
      <c r="M77" s="90">
        <v>9.09</v>
      </c>
      <c r="N77" s="90">
        <f t="shared" si="0"/>
        <v>2210.6999999999998</v>
      </c>
      <c r="P77" s="52">
        <v>2022</v>
      </c>
      <c r="Q77" s="90">
        <v>14.37</v>
      </c>
      <c r="R77" s="4">
        <v>46.95</v>
      </c>
      <c r="S77" s="4">
        <v>254</v>
      </c>
      <c r="T77" s="4">
        <v>229.3</v>
      </c>
      <c r="U77" s="4">
        <v>277.48</v>
      </c>
      <c r="V77" s="90">
        <v>340.07</v>
      </c>
      <c r="W77" s="4">
        <v>337.02</v>
      </c>
      <c r="X77" s="4">
        <v>378.54999999999995</v>
      </c>
      <c r="Y77" s="4">
        <v>157.86999999999995</v>
      </c>
      <c r="Z77" s="95">
        <v>68.319999999999993</v>
      </c>
      <c r="AA77" s="2">
        <v>2.33</v>
      </c>
      <c r="AB77" s="2">
        <v>6.09</v>
      </c>
      <c r="AC77" s="90">
        <f t="shared" si="3"/>
        <v>2112.35</v>
      </c>
    </row>
    <row r="78" spans="1:29" x14ac:dyDescent="0.25">
      <c r="A78" s="52">
        <v>2023</v>
      </c>
      <c r="B78" s="4">
        <v>5.71</v>
      </c>
      <c r="C78" s="4">
        <v>49.79</v>
      </c>
      <c r="D78" s="4">
        <v>93.54</v>
      </c>
      <c r="E78" s="4">
        <v>209.21</v>
      </c>
      <c r="F78" s="4">
        <v>468.09</v>
      </c>
      <c r="G78" s="4">
        <v>432.85</v>
      </c>
      <c r="H78" s="4">
        <v>352.35</v>
      </c>
      <c r="I78" s="4">
        <v>234.31</v>
      </c>
      <c r="J78" s="4">
        <v>221.41</v>
      </c>
      <c r="K78" s="4">
        <v>52.5</v>
      </c>
      <c r="L78" s="4">
        <v>21.76</v>
      </c>
      <c r="M78" s="90">
        <v>2.85</v>
      </c>
      <c r="N78" s="90">
        <f>SUM(B78:M78)</f>
        <v>2144.37</v>
      </c>
      <c r="P78" s="52">
        <v>2023</v>
      </c>
      <c r="Q78" s="2">
        <v>4.21</v>
      </c>
      <c r="R78" s="2">
        <v>32.090000000000003</v>
      </c>
      <c r="S78" s="2">
        <v>105.87</v>
      </c>
      <c r="T78" s="4">
        <v>221.4</v>
      </c>
      <c r="U78" s="2">
        <v>470.05</v>
      </c>
      <c r="V78" s="2">
        <v>406.59</v>
      </c>
      <c r="W78" s="2">
        <v>335.25</v>
      </c>
      <c r="X78" s="2">
        <v>240.99</v>
      </c>
      <c r="Y78" s="2">
        <v>552.25</v>
      </c>
      <c r="Z78" s="2">
        <v>63.42</v>
      </c>
      <c r="AA78" s="2">
        <v>14.83</v>
      </c>
      <c r="AB78" s="2">
        <v>3.34</v>
      </c>
      <c r="AC78" s="4">
        <f>SUM(Q78:AB78)</f>
        <v>2450.29</v>
      </c>
    </row>
    <row r="79" spans="1:29" x14ac:dyDescent="0.25">
      <c r="A79" s="52">
        <v>2024</v>
      </c>
      <c r="B79" s="4">
        <v>11.9</v>
      </c>
      <c r="C79" s="2">
        <v>17.71</v>
      </c>
      <c r="D79" s="2">
        <v>95.11</v>
      </c>
      <c r="E79" s="2">
        <v>134.44</v>
      </c>
      <c r="F79" s="4">
        <v>519.79999999999995</v>
      </c>
      <c r="G79" s="2">
        <v>421.92</v>
      </c>
      <c r="H79" s="2">
        <v>366.12</v>
      </c>
      <c r="I79" s="4">
        <v>380.8</v>
      </c>
      <c r="J79" s="2">
        <v>241.63</v>
      </c>
      <c r="K79" s="4">
        <v>92.9</v>
      </c>
      <c r="L79" s="4">
        <v>12</v>
      </c>
      <c r="M79" s="2">
        <v>6.12</v>
      </c>
      <c r="N79" s="4">
        <f t="shared" si="0"/>
        <v>2300.4499999999998</v>
      </c>
      <c r="P79" s="52">
        <v>2024</v>
      </c>
      <c r="Q79" s="2">
        <v>17.23</v>
      </c>
      <c r="R79" s="2">
        <v>16.72</v>
      </c>
      <c r="S79" s="2">
        <v>111.91</v>
      </c>
      <c r="T79" s="2">
        <v>141.06</v>
      </c>
      <c r="U79" s="2">
        <v>468.92</v>
      </c>
      <c r="V79" s="2">
        <v>394.72</v>
      </c>
      <c r="W79" s="2">
        <v>311.67</v>
      </c>
      <c r="X79" s="2">
        <v>340.93</v>
      </c>
      <c r="Y79" s="2">
        <v>243.17</v>
      </c>
      <c r="Z79" s="2">
        <v>83.85</v>
      </c>
      <c r="AA79" s="2">
        <v>11.91</v>
      </c>
      <c r="AB79" s="2">
        <v>4.54</v>
      </c>
      <c r="AC79" s="4">
        <f>SUM(Q79:AB79)</f>
        <v>2146.63</v>
      </c>
    </row>
    <row r="80" spans="1:29" x14ac:dyDescent="0.25">
      <c r="A80" s="52">
        <v>2025</v>
      </c>
      <c r="B80" s="2">
        <v>6.43</v>
      </c>
      <c r="C80" s="2">
        <v>58.98</v>
      </c>
      <c r="D80" s="4">
        <v>164.6</v>
      </c>
      <c r="E80" s="2">
        <v>295.14999999999998</v>
      </c>
      <c r="F80" s="2">
        <v>343.22</v>
      </c>
      <c r="G80" s="2">
        <v>334.09</v>
      </c>
      <c r="H80" s="2">
        <v>288.17</v>
      </c>
      <c r="I80" s="2">
        <v>246.31</v>
      </c>
      <c r="J80" s="2">
        <v>184.38</v>
      </c>
      <c r="K80" s="2">
        <v>80.150000000000006</v>
      </c>
      <c r="L80" s="2">
        <v>13.55</v>
      </c>
      <c r="M80" s="2">
        <v>5.08</v>
      </c>
      <c r="N80" s="4">
        <f>SUM(B80:M80)</f>
        <v>2020.11</v>
      </c>
      <c r="P80" s="52">
        <v>2025</v>
      </c>
      <c r="Q80" s="2">
        <v>6.03</v>
      </c>
      <c r="R80" s="2">
        <v>60.68</v>
      </c>
      <c r="S80" s="2">
        <v>171.18</v>
      </c>
      <c r="T80" s="2">
        <v>289.17</v>
      </c>
      <c r="U80" s="2">
        <v>278.06</v>
      </c>
      <c r="V80" s="2">
        <v>299.07</v>
      </c>
      <c r="W80" s="2">
        <v>282.08999999999997</v>
      </c>
      <c r="X80" s="2">
        <v>245.01</v>
      </c>
      <c r="Y80" s="2">
        <v>181.12</v>
      </c>
      <c r="Z80" s="2">
        <v>78.25</v>
      </c>
      <c r="AA80" s="2">
        <v>14.87</v>
      </c>
      <c r="AB80" s="2">
        <v>8.49</v>
      </c>
      <c r="AC80" s="4">
        <f>SUM(Q80:AB80)</f>
        <v>1914.0199999999998</v>
      </c>
    </row>
    <row r="84" spans="1:29" x14ac:dyDescent="0.25">
      <c r="A84" s="160" t="s">
        <v>29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  <c r="P84" s="160" t="s">
        <v>29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2"/>
    </row>
    <row r="85" spans="1:29" x14ac:dyDescent="0.25">
      <c r="A85" s="51"/>
      <c r="B85" s="52" t="s">
        <v>1</v>
      </c>
      <c r="C85" s="52" t="s">
        <v>2</v>
      </c>
      <c r="D85" s="52" t="s">
        <v>3</v>
      </c>
      <c r="E85" s="52" t="s">
        <v>4</v>
      </c>
      <c r="F85" s="52" t="s">
        <v>5</v>
      </c>
      <c r="G85" s="52" t="s">
        <v>6</v>
      </c>
      <c r="H85" s="52" t="s">
        <v>7</v>
      </c>
      <c r="I85" s="52" t="s">
        <v>8</v>
      </c>
      <c r="J85" s="52" t="s">
        <v>9</v>
      </c>
      <c r="K85" s="52" t="s">
        <v>10</v>
      </c>
      <c r="L85" s="52" t="s">
        <v>11</v>
      </c>
      <c r="M85" s="52" t="s">
        <v>12</v>
      </c>
      <c r="N85" s="52" t="s">
        <v>25</v>
      </c>
      <c r="P85" s="51"/>
      <c r="Q85" s="52" t="s">
        <v>1</v>
      </c>
      <c r="R85" s="52" t="s">
        <v>2</v>
      </c>
      <c r="S85" s="52" t="s">
        <v>3</v>
      </c>
      <c r="T85" s="52" t="s">
        <v>4</v>
      </c>
      <c r="U85" s="52" t="s">
        <v>5</v>
      </c>
      <c r="V85" s="52" t="s">
        <v>6</v>
      </c>
      <c r="W85" s="52" t="s">
        <v>7</v>
      </c>
      <c r="X85" s="52" t="s">
        <v>8</v>
      </c>
      <c r="Y85" s="52" t="s">
        <v>9</v>
      </c>
      <c r="Z85" s="52" t="s">
        <v>10</v>
      </c>
      <c r="AA85" s="52" t="s">
        <v>11</v>
      </c>
      <c r="AB85" s="52" t="s">
        <v>12</v>
      </c>
      <c r="AC85" s="52" t="s">
        <v>25</v>
      </c>
    </row>
    <row r="86" spans="1:29" x14ac:dyDescent="0.25">
      <c r="A86" s="53" t="s">
        <v>23</v>
      </c>
      <c r="B86" s="56">
        <f>MAX(B19:B42,B44:B46,B48,B50:B51,B54,B56:B57,B61:B65,B67:B74,B77:B80)</f>
        <v>31.3</v>
      </c>
      <c r="C86" s="56">
        <f>MAX(C19:C42,C44:C48,C51:C54,C56:C57,C61:C80)</f>
        <v>101.64</v>
      </c>
      <c r="D86" s="56">
        <f>MAX(D19:D47,D50:D53,D55:D57,D61:D62,D64:D80)</f>
        <v>253.61</v>
      </c>
      <c r="E86" s="56">
        <f>MAX(E19:E41,E44:E47,E51:E56,E62:E68,E70,E72,E74,E76:E80)</f>
        <v>365.11</v>
      </c>
      <c r="F86" s="56">
        <f>MAX(F19:F41,F44:F45,F48,F52,F54,F56,F64:F67,F69,F72,F74:F80)</f>
        <v>519.79999999999995</v>
      </c>
      <c r="G86" s="56">
        <f>MAX(G19:G44,G48,G51,G53,G56:G57,G64:G67,G69:G70,G72:G75,G78:G80)</f>
        <v>472.22</v>
      </c>
      <c r="H86" s="56">
        <f>MAX(H19:H38,H40:H41,H43:H46,H48,H55:H57,H64:H67,H51,H69:H72,H74:H80,H62)</f>
        <v>453.6</v>
      </c>
      <c r="I86" s="56">
        <f>MAX(I19:I41,I44,I46:I48,I51:I52,I55:I57,I69,I61:I66,I71:I72,I74:I80)</f>
        <v>380.8</v>
      </c>
      <c r="J86" s="56">
        <f>MAX(J19:J41,J44:J49,J51:J54,J57,J74:J80,J60:J66,J69:J72)</f>
        <v>241.63</v>
      </c>
      <c r="K86" s="56">
        <f>MAX(K19:K41,K53:K57,K60:K62,K66,K69:K72,K44,K46:K50,K74:K80)</f>
        <v>143.8042044</v>
      </c>
      <c r="L86" s="56">
        <f>MAX(L19:L41,L54:L56,L50:L51,L60:L62,L64,L66:L67,L44,L70:L73,L46:L48,L76:L80)</f>
        <v>31.62</v>
      </c>
      <c r="M86" s="56">
        <f>MAX(M19:M41,M44:M47,M50,M53,M55,M57,M60:M64,M66:M67,M69:M73,M79:M80)</f>
        <v>15.84</v>
      </c>
      <c r="N86" s="99">
        <f>MAX(N19,N21:N38,N40:N41,N44,N79:N80,N72)</f>
        <v>2300.4499999999998</v>
      </c>
      <c r="P86" s="53" t="s">
        <v>23</v>
      </c>
      <c r="Q86" s="56">
        <f>MAX(Q37,Q39:Q49,Q51:Q67,Q69:Q74,Q76,Q78:Q80)</f>
        <v>35.049999999999997</v>
      </c>
      <c r="R86" s="56">
        <f>MAX(R37,R39:R48,R50:R72,R74:R80)</f>
        <v>82.43</v>
      </c>
      <c r="S86" s="56">
        <f>MAX(S37,S39:S72,S74,S76:S80)</f>
        <v>254</v>
      </c>
      <c r="T86" s="56">
        <f>MAX(T37,T39:T50,T52:T72,T75:T80)</f>
        <v>354.85</v>
      </c>
      <c r="U86" s="56">
        <f>MAX(U37,U39:U48,U50:U60,U62:U72,U75:U80)</f>
        <v>470.05</v>
      </c>
      <c r="V86" s="56">
        <f>MAX(V37,V39:V72,V75:V75,V78:V80)</f>
        <v>414.88</v>
      </c>
      <c r="W86" s="56">
        <f>MAX(W37:W72,W75:W80)</f>
        <v>559.69000000000005</v>
      </c>
      <c r="X86" s="56">
        <f>MAX(X37:X57,X59:X73,X75:X80)</f>
        <v>476.3</v>
      </c>
      <c r="Y86" s="56">
        <f>MAX(Y37:Y57,Y59:Y65,Y67:Y71,Y73,Y75:Y80)</f>
        <v>552.25</v>
      </c>
      <c r="Z86" s="56">
        <f>MAX(Z37:Z70,Z72:Z76,Z78:Z80)</f>
        <v>122.57</v>
      </c>
      <c r="AA86" s="56">
        <f>MAX(AA37:AA80)</f>
        <v>32.020000000000003</v>
      </c>
      <c r="AB86" s="56">
        <f>MAX(AB37:AB42,AB44:AB60,AB62:AB73,AB75:AB80)</f>
        <v>21.22</v>
      </c>
      <c r="AC86" s="99">
        <f>MAX(AC37,AC39:AC42,AC44:AC48,AC52:AC57,AC59:AC60,AC62:AC65,AC67,P87,AC69:AC70,AC78:AC80)</f>
        <v>2450.29</v>
      </c>
    </row>
    <row r="87" spans="1:29" x14ac:dyDescent="0.25">
      <c r="A87" s="51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P87" s="51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1:29" x14ac:dyDescent="0.25">
      <c r="A88" s="54" t="s">
        <v>24</v>
      </c>
      <c r="B88" s="55">
        <f>MIN(B19:B42,B44:B46,B48,B50:B51,B54,B56:B57,B61:B65,B67:B74,B77:B80)</f>
        <v>2.12</v>
      </c>
      <c r="C88" s="55">
        <f>MIN(C19:C42,C44:C48,C51:C54,C56:C57,C61:C80)</f>
        <v>10.029999999999999</v>
      </c>
      <c r="D88" s="55">
        <f>MAX(D19:D47,D50:D53,D55:D57,D61:D62,D64:D80)</f>
        <v>253.61</v>
      </c>
      <c r="E88" s="55">
        <f>MIN(E19:E41,E44:E47,E51:E56,E62:E68,E70,E72,E74,E76:E80)</f>
        <v>73.09</v>
      </c>
      <c r="F88" s="55">
        <f>MIN(F19:F41,F44:F45,F48,F52,F54,F56,F64:F67,F69,F72,F74:F80)</f>
        <v>140.43</v>
      </c>
      <c r="G88" s="55">
        <f>MIN(G19:G44,G53,G48,G51,G56:G57,G64:G67,G72:G75,G78:G80,G69:G70)</f>
        <v>123.75</v>
      </c>
      <c r="H88" s="55">
        <f>MIN(H19:H38,H40:H41,H43:H46,H62,H48,H51,H55:H57,H64:H67,H69:H72,H74:H80)</f>
        <v>119.33</v>
      </c>
      <c r="I88" s="55">
        <f>MIN(I19:I41,I44,I46:I48,I55:I57,I51:I52,I69,I61:I66,I71:I72,I74:I80)</f>
        <v>113.4</v>
      </c>
      <c r="J88" s="55">
        <f>MIN(J19:J41,J44:J49,J51:J54,J57,J60:J66,J69:J72,J74:J80)</f>
        <v>20.934000000000001</v>
      </c>
      <c r="K88" s="55">
        <f>MIN(K19:K41,K44,K53:K57,K60:K62,K66,K69:K72,K46:K50,K74:K80)</f>
        <v>4.1867999999999999</v>
      </c>
      <c r="L88" s="55">
        <f>MIN(L19:L41,L54:L56,L60:L62,L64,L66:L67,L70:L73,L44,L46:L48,L76:L80,L50:L51)</f>
        <v>0</v>
      </c>
      <c r="M88" s="55">
        <f>MIN(M19:M41,M44:M47,M50,M53,M55,M57,M60:M64,M66:M67,M69:M73,M79:M80)</f>
        <v>0</v>
      </c>
      <c r="N88" s="99">
        <f>MIN(N19,N21:N38,N40:N41,N44,N79:N80,N72)</f>
        <v>1137.2199999999998</v>
      </c>
      <c r="P88" s="54" t="s">
        <v>24</v>
      </c>
      <c r="Q88" s="55">
        <f>MIN(Q37,Q39:Q49,Q51:Q67,Q69:Q74,Q76,Q78:Q80)</f>
        <v>3.78</v>
      </c>
      <c r="R88" s="55">
        <f>MIN(R37,R39:R48,R50:R72,R74:R80)</f>
        <v>12.17</v>
      </c>
      <c r="S88" s="55">
        <f>MIN(S37,S39:S72,S76:S80,S74)</f>
        <v>45.32</v>
      </c>
      <c r="T88" s="55">
        <f>MIN(T37,T39:T50,T52:T72,T75:T80)</f>
        <v>58.18</v>
      </c>
      <c r="U88" s="55">
        <f>MIN(U37,U39:U48,U50:U60,U62:U72,U75:U80)</f>
        <v>172.45</v>
      </c>
      <c r="V88" s="55">
        <f>MIN(V37,V39:V72,V75,V78:V80)</f>
        <v>152.13</v>
      </c>
      <c r="W88" s="55">
        <f>MIN(W37:W72,W75:W80)</f>
        <v>152.75</v>
      </c>
      <c r="X88" s="55">
        <f>MIN(X37:X57,X59:X73,X75:X80)</f>
        <v>89.48</v>
      </c>
      <c r="Y88" s="55">
        <f>MIN(Y37:Y57,Y59:Y65,Y67:Y71,Y73,Y75:Y80)</f>
        <v>57.45</v>
      </c>
      <c r="Z88" s="55">
        <f>MIN(Z37:Z70,Z72:Z76,Z78:Z80)</f>
        <v>21.44</v>
      </c>
      <c r="AA88" s="55">
        <f>MIN(AA37:AA80)</f>
        <v>0.17</v>
      </c>
      <c r="AB88" s="55">
        <f>MIN(AB37:AB42,AB44:AB60,AB62:AB73,AB75:AB80)</f>
        <v>1.07</v>
      </c>
      <c r="AC88" s="99">
        <f>MIN(AC37,AC39:AC42,AC44:AC48,AC52:AC57,AC59:AC60,AC62:AC65,AC67,AC69:AC70,AC78:AC80)</f>
        <v>1366.02</v>
      </c>
    </row>
    <row r="91" spans="1:29" ht="17.25" customHeight="1" x14ac:dyDescent="0.25"/>
    <row r="92" spans="1:29" ht="15.75" customHeight="1" x14ac:dyDescent="0.25"/>
  </sheetData>
  <mergeCells count="4">
    <mergeCell ref="A84:N84"/>
    <mergeCell ref="P84:AC84"/>
    <mergeCell ref="B9:J9"/>
    <mergeCell ref="Q9:Y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5FCB-1BEE-4FAD-817C-812B6BDF29A1}">
  <dimension ref="A1:AC92"/>
  <sheetViews>
    <sheetView zoomScale="60" zoomScaleNormal="60" workbookViewId="0">
      <selection activeCell="J3" sqref="J3"/>
    </sheetView>
  </sheetViews>
  <sheetFormatPr defaultRowHeight="15" x14ac:dyDescent="0.25"/>
  <cols>
    <col min="1" max="1" width="18.42578125" customWidth="1"/>
    <col min="9" max="9" width="11.5703125" customWidth="1"/>
    <col min="14" max="14" width="9.140625" customWidth="1"/>
    <col min="16" max="16" width="16.7109375" customWidth="1"/>
    <col min="24" max="24" width="11.5703125" customWidth="1"/>
  </cols>
  <sheetData>
    <row r="1" spans="1:29" ht="15.75" x14ac:dyDescent="0.25">
      <c r="A1" s="141" t="s">
        <v>49</v>
      </c>
      <c r="B1" s="145"/>
      <c r="C1" s="145"/>
      <c r="D1" s="145"/>
      <c r="E1" s="145"/>
      <c r="F1" s="145"/>
      <c r="O1" s="140"/>
      <c r="P1" s="141" t="s">
        <v>36</v>
      </c>
      <c r="Q1" s="145"/>
      <c r="R1" s="145"/>
      <c r="S1" s="145"/>
      <c r="T1" s="145"/>
      <c r="U1" s="145"/>
    </row>
    <row r="2" spans="1:29" x14ac:dyDescent="0.25">
      <c r="A2" s="6" t="s">
        <v>31</v>
      </c>
      <c r="O2" s="140"/>
      <c r="P2" s="6" t="s">
        <v>31</v>
      </c>
    </row>
    <row r="3" spans="1:29" x14ac:dyDescent="0.25">
      <c r="A3" s="6" t="s">
        <v>18</v>
      </c>
      <c r="O3" s="140"/>
      <c r="P3" s="6" t="s">
        <v>37</v>
      </c>
    </row>
    <row r="4" spans="1:29" x14ac:dyDescent="0.25">
      <c r="A4" s="96"/>
      <c r="B4" s="3" t="s">
        <v>33</v>
      </c>
      <c r="O4" s="140"/>
      <c r="P4" s="137"/>
      <c r="Q4" s="3" t="s">
        <v>33</v>
      </c>
    </row>
    <row r="5" spans="1:29" x14ac:dyDescent="0.25">
      <c r="A5" s="43"/>
      <c r="B5" t="s">
        <v>57</v>
      </c>
      <c r="O5" s="140"/>
      <c r="P5" s="138"/>
      <c r="Q5" t="s">
        <v>57</v>
      </c>
    </row>
    <row r="6" spans="1:29" x14ac:dyDescent="0.25">
      <c r="O6" s="140"/>
    </row>
    <row r="7" spans="1:29" ht="15.75" customHeight="1" x14ac:dyDescent="0.25">
      <c r="O7" s="140"/>
    </row>
    <row r="8" spans="1:29" ht="13.5" customHeight="1" x14ac:dyDescent="0.25">
      <c r="A8" s="52" t="s">
        <v>0</v>
      </c>
      <c r="B8" s="54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4" t="s">
        <v>7</v>
      </c>
      <c r="I8" s="54" t="s">
        <v>8</v>
      </c>
      <c r="J8" s="54" t="s">
        <v>9</v>
      </c>
      <c r="K8" s="54" t="s">
        <v>10</v>
      </c>
      <c r="L8" s="54" t="s">
        <v>11</v>
      </c>
      <c r="M8" s="54" t="s">
        <v>12</v>
      </c>
      <c r="N8" s="54" t="s">
        <v>25</v>
      </c>
      <c r="P8" s="52" t="s">
        <v>0</v>
      </c>
      <c r="Q8" s="54" t="s">
        <v>1</v>
      </c>
      <c r="R8" s="54" t="s">
        <v>2</v>
      </c>
      <c r="S8" s="54" t="s">
        <v>3</v>
      </c>
      <c r="T8" s="54" t="s">
        <v>4</v>
      </c>
      <c r="U8" s="54" t="s">
        <v>5</v>
      </c>
      <c r="V8" s="54" t="s">
        <v>6</v>
      </c>
      <c r="W8" s="54" t="s">
        <v>7</v>
      </c>
      <c r="X8" s="54" t="s">
        <v>8</v>
      </c>
      <c r="Y8" s="54" t="s">
        <v>9</v>
      </c>
      <c r="Z8" s="54" t="s">
        <v>10</v>
      </c>
      <c r="AA8" s="54" t="s">
        <v>11</v>
      </c>
      <c r="AB8" s="54" t="s">
        <v>12</v>
      </c>
      <c r="AC8" s="54" t="s">
        <v>25</v>
      </c>
    </row>
    <row r="9" spans="1:29" ht="14.25" customHeight="1" x14ac:dyDescent="0.25">
      <c r="A9" s="52">
        <v>1954</v>
      </c>
      <c r="B9" s="163" t="s">
        <v>50</v>
      </c>
      <c r="C9" s="164"/>
      <c r="D9" s="164"/>
      <c r="E9" s="164"/>
      <c r="F9" s="164"/>
      <c r="G9" s="164"/>
      <c r="H9" s="164"/>
      <c r="I9" s="164"/>
      <c r="J9" s="165"/>
      <c r="K9" s="38"/>
      <c r="L9" s="38"/>
      <c r="M9" s="45"/>
      <c r="N9" s="38"/>
      <c r="P9" s="52">
        <v>1954</v>
      </c>
      <c r="Q9" s="163" t="s">
        <v>50</v>
      </c>
      <c r="R9" s="164"/>
      <c r="S9" s="164"/>
      <c r="T9" s="164"/>
      <c r="U9" s="164"/>
      <c r="V9" s="164"/>
      <c r="W9" s="164"/>
      <c r="X9" s="164"/>
      <c r="Y9" s="165"/>
      <c r="Z9" s="38"/>
      <c r="AA9" s="38"/>
      <c r="AB9" s="45"/>
      <c r="AC9" s="38"/>
    </row>
    <row r="10" spans="1:29" ht="12" customHeight="1" x14ac:dyDescent="0.25">
      <c r="A10" s="52">
        <v>1955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45"/>
      <c r="N10" s="38"/>
      <c r="P10" s="52">
        <v>1955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45"/>
      <c r="AC10" s="38"/>
    </row>
    <row r="11" spans="1:29" ht="12" customHeight="1" x14ac:dyDescent="0.25">
      <c r="A11" s="52">
        <v>1956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5"/>
      <c r="N11" s="38"/>
      <c r="P11" s="52">
        <v>1956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45"/>
      <c r="AC11" s="38"/>
    </row>
    <row r="12" spans="1:29" ht="12" customHeight="1" x14ac:dyDescent="0.25">
      <c r="A12" s="52">
        <v>1957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5"/>
      <c r="N12" s="38"/>
      <c r="P12" s="52">
        <v>1957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45"/>
      <c r="AC12" s="38"/>
    </row>
    <row r="13" spans="1:29" ht="12" customHeight="1" x14ac:dyDescent="0.25">
      <c r="A13" s="52">
        <v>1958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5"/>
      <c r="N13" s="38"/>
      <c r="P13" s="52">
        <v>1958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5"/>
      <c r="AC13" s="38"/>
    </row>
    <row r="14" spans="1:29" ht="12" customHeight="1" x14ac:dyDescent="0.25">
      <c r="A14" s="52">
        <v>1959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5"/>
      <c r="N14" s="38"/>
      <c r="P14" s="52">
        <v>1959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5"/>
      <c r="AC14" s="38"/>
    </row>
    <row r="15" spans="1:29" ht="12" customHeight="1" x14ac:dyDescent="0.25">
      <c r="A15" s="52">
        <v>1960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5"/>
      <c r="N15" s="38"/>
      <c r="P15" s="52">
        <v>1960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5"/>
      <c r="AC15" s="38"/>
    </row>
    <row r="16" spans="1:29" ht="12" customHeight="1" x14ac:dyDescent="0.25">
      <c r="A16" s="52">
        <v>1961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5"/>
      <c r="N16" s="38"/>
      <c r="P16" s="52">
        <v>1961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5"/>
      <c r="AC16" s="38"/>
    </row>
    <row r="17" spans="1:29" ht="12" customHeight="1" x14ac:dyDescent="0.25">
      <c r="A17" s="52">
        <v>1962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5"/>
      <c r="N17" s="38"/>
      <c r="P17" s="52">
        <v>1962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5"/>
      <c r="AC17" s="38"/>
    </row>
    <row r="18" spans="1:29" ht="12" customHeight="1" x14ac:dyDescent="0.25">
      <c r="A18" s="52">
        <v>1963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5"/>
      <c r="N18" s="38"/>
      <c r="P18" s="52">
        <v>1963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45"/>
      <c r="AC18" s="38"/>
    </row>
    <row r="19" spans="1:29" x14ac:dyDescent="0.25">
      <c r="A19" s="52">
        <v>1964</v>
      </c>
      <c r="B19" s="4">
        <v>33.94</v>
      </c>
      <c r="C19" s="4">
        <v>87.923000000000002</v>
      </c>
      <c r="D19" s="4">
        <v>150.72</v>
      </c>
      <c r="E19" s="4">
        <v>192.59</v>
      </c>
      <c r="F19" s="4">
        <v>255.39</v>
      </c>
      <c r="G19" s="4">
        <v>305.64</v>
      </c>
      <c r="H19" s="4">
        <v>322.38</v>
      </c>
      <c r="I19" s="4">
        <v>259.58</v>
      </c>
      <c r="J19" s="4">
        <v>167.47</v>
      </c>
      <c r="K19" s="4">
        <v>96.296000000000006</v>
      </c>
      <c r="L19" s="4">
        <v>41.868000000000002</v>
      </c>
      <c r="M19" s="46">
        <v>20.934000000000001</v>
      </c>
      <c r="N19" s="4">
        <f>SUM(B19:M19)</f>
        <v>1934.731</v>
      </c>
      <c r="P19" s="52">
        <v>1964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63"/>
      <c r="AC19" s="40"/>
    </row>
    <row r="20" spans="1:29" x14ac:dyDescent="0.25">
      <c r="A20" s="52">
        <v>1965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6">
        <v>25.120999999999999</v>
      </c>
      <c r="N20" s="90">
        <f t="shared" ref="N20:N77" si="0">SUM(B20:M20)</f>
        <v>25.120999999999999</v>
      </c>
      <c r="P20" s="52">
        <v>1965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63"/>
      <c r="AC20" s="40"/>
    </row>
    <row r="21" spans="1:29" x14ac:dyDescent="0.25">
      <c r="A21" s="52">
        <v>1966</v>
      </c>
      <c r="B21" s="4">
        <v>33.494</v>
      </c>
      <c r="C21" s="4">
        <v>71.176000000000002</v>
      </c>
      <c r="D21" s="4">
        <v>125.6</v>
      </c>
      <c r="E21" s="4">
        <v>209.34</v>
      </c>
      <c r="F21" s="4">
        <v>234.46</v>
      </c>
      <c r="G21" s="4">
        <v>267.95999999999998</v>
      </c>
      <c r="H21" s="4">
        <v>267.95999999999998</v>
      </c>
      <c r="I21" s="4">
        <v>221.9</v>
      </c>
      <c r="J21" s="4">
        <v>146.54</v>
      </c>
      <c r="K21" s="4">
        <v>87.923000000000002</v>
      </c>
      <c r="L21" s="4">
        <v>41.868000000000002</v>
      </c>
      <c r="M21" s="46">
        <v>25.120999999999999</v>
      </c>
      <c r="N21" s="4">
        <f t="shared" si="0"/>
        <v>1733.3420000000001</v>
      </c>
      <c r="P21" s="52">
        <v>1966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63"/>
      <c r="AC21" s="40"/>
    </row>
    <row r="22" spans="1:29" x14ac:dyDescent="0.25">
      <c r="A22" s="52">
        <v>1967</v>
      </c>
      <c r="B22" s="4">
        <v>41.868000000000002</v>
      </c>
      <c r="C22" s="4">
        <v>54.427999999999997</v>
      </c>
      <c r="D22" s="4">
        <v>121.42</v>
      </c>
      <c r="E22" s="4">
        <v>163.29</v>
      </c>
      <c r="F22" s="4">
        <v>230.27</v>
      </c>
      <c r="G22" s="4">
        <v>238.65</v>
      </c>
      <c r="H22" s="4">
        <v>230.27</v>
      </c>
      <c r="I22" s="4">
        <v>209.34</v>
      </c>
      <c r="J22" s="4">
        <v>150.72</v>
      </c>
      <c r="K22" s="4">
        <v>92.11</v>
      </c>
      <c r="L22" s="4">
        <v>33.494</v>
      </c>
      <c r="M22" s="46">
        <v>29.308</v>
      </c>
      <c r="N22" s="4">
        <f t="shared" si="0"/>
        <v>1595.1679999999997</v>
      </c>
      <c r="P22" s="52">
        <v>1967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63"/>
      <c r="AC22" s="40"/>
    </row>
    <row r="23" spans="1:29" x14ac:dyDescent="0.25">
      <c r="A23" s="52">
        <v>1968</v>
      </c>
      <c r="B23" s="4">
        <v>37.680999999999997</v>
      </c>
      <c r="C23" s="4">
        <v>71.176000000000002</v>
      </c>
      <c r="D23" s="4">
        <v>121.42</v>
      </c>
      <c r="E23" s="4">
        <v>175.85</v>
      </c>
      <c r="F23" s="4">
        <v>280.52</v>
      </c>
      <c r="G23" s="4">
        <v>263.77</v>
      </c>
      <c r="H23" s="4">
        <v>288.89</v>
      </c>
      <c r="I23" s="4">
        <v>242.83</v>
      </c>
      <c r="J23" s="4">
        <v>175.85</v>
      </c>
      <c r="K23" s="4">
        <v>96.296000000000006</v>
      </c>
      <c r="L23" s="4">
        <v>37.680999999999997</v>
      </c>
      <c r="M23" s="46">
        <v>25.120999999999999</v>
      </c>
      <c r="N23" s="4">
        <f t="shared" si="0"/>
        <v>1817.0849999999998</v>
      </c>
      <c r="P23" s="52">
        <v>1968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63"/>
      <c r="AC23" s="40"/>
    </row>
    <row r="24" spans="1:29" x14ac:dyDescent="0.25">
      <c r="A24" s="52">
        <v>1969</v>
      </c>
      <c r="B24" s="4">
        <v>37.680999999999997</v>
      </c>
      <c r="C24" s="4">
        <v>87.923000000000002</v>
      </c>
      <c r="D24" s="4">
        <v>146.54</v>
      </c>
      <c r="E24" s="4">
        <v>184.22</v>
      </c>
      <c r="F24" s="4">
        <v>280.52</v>
      </c>
      <c r="G24" s="4">
        <v>293.08</v>
      </c>
      <c r="H24" s="4">
        <v>288.89</v>
      </c>
      <c r="I24" s="4">
        <v>238.65</v>
      </c>
      <c r="J24" s="4">
        <v>129.79</v>
      </c>
      <c r="K24" s="4">
        <v>75.361999999999995</v>
      </c>
      <c r="L24" s="4">
        <v>33.494</v>
      </c>
      <c r="M24" s="46">
        <v>25.120999999999999</v>
      </c>
      <c r="N24" s="4">
        <f t="shared" si="0"/>
        <v>1821.271</v>
      </c>
      <c r="P24" s="52">
        <v>1969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63"/>
      <c r="AC24" s="40"/>
    </row>
    <row r="25" spans="1:29" x14ac:dyDescent="0.25">
      <c r="A25" s="52">
        <v>1970</v>
      </c>
      <c r="B25" s="4">
        <v>37.680999999999997</v>
      </c>
      <c r="C25" s="4">
        <v>87.923000000000002</v>
      </c>
      <c r="D25" s="4">
        <v>167.47</v>
      </c>
      <c r="E25" s="4">
        <v>192.59</v>
      </c>
      <c r="F25" s="4">
        <v>280.52</v>
      </c>
      <c r="G25" s="4">
        <v>263.77</v>
      </c>
      <c r="H25" s="4">
        <v>267.95999999999998</v>
      </c>
      <c r="I25" s="4">
        <v>263.77</v>
      </c>
      <c r="J25" s="4">
        <v>163.29</v>
      </c>
      <c r="K25" s="4">
        <v>87.923000000000002</v>
      </c>
      <c r="L25" s="4">
        <v>33.494</v>
      </c>
      <c r="M25" s="46">
        <v>20.934000000000001</v>
      </c>
      <c r="N25" s="4">
        <f t="shared" si="0"/>
        <v>1867.3249999999998</v>
      </c>
      <c r="P25" s="52">
        <v>1970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63"/>
      <c r="AC25" s="40"/>
    </row>
    <row r="26" spans="1:29" x14ac:dyDescent="0.25">
      <c r="A26" s="52">
        <v>1971</v>
      </c>
      <c r="B26" s="4">
        <v>29.308</v>
      </c>
      <c r="C26" s="4">
        <v>54.427999999999997</v>
      </c>
      <c r="D26" s="4">
        <v>133.97999999999999</v>
      </c>
      <c r="E26" s="4">
        <v>196.78</v>
      </c>
      <c r="F26" s="4">
        <v>226.09</v>
      </c>
      <c r="G26" s="4">
        <v>305.64</v>
      </c>
      <c r="H26" s="4">
        <v>330.76</v>
      </c>
      <c r="I26" s="4">
        <v>251.21</v>
      </c>
      <c r="J26" s="4">
        <v>175.85</v>
      </c>
      <c r="K26" s="4">
        <v>92.11</v>
      </c>
      <c r="L26" s="4">
        <v>50.241999999999997</v>
      </c>
      <c r="M26" s="46">
        <v>25.120999999999999</v>
      </c>
      <c r="N26" s="4">
        <f t="shared" si="0"/>
        <v>1871.5189999999998</v>
      </c>
      <c r="P26" s="52">
        <v>1971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63"/>
      <c r="AC26" s="40"/>
    </row>
    <row r="27" spans="1:29" x14ac:dyDescent="0.25">
      <c r="A27" s="52">
        <v>1972</v>
      </c>
      <c r="B27" s="4">
        <v>37.680999999999997</v>
      </c>
      <c r="C27" s="4">
        <v>62.802</v>
      </c>
      <c r="D27" s="4">
        <v>133.97999999999999</v>
      </c>
      <c r="E27" s="4">
        <v>171.66</v>
      </c>
      <c r="F27" s="4">
        <v>230.27</v>
      </c>
      <c r="G27" s="4">
        <v>247.02</v>
      </c>
      <c r="H27" s="4">
        <v>263.77</v>
      </c>
      <c r="I27" s="4">
        <v>200.97</v>
      </c>
      <c r="J27" s="4">
        <v>150.72</v>
      </c>
      <c r="K27" s="4">
        <v>66.989000000000004</v>
      </c>
      <c r="L27" s="4">
        <v>33.494</v>
      </c>
      <c r="M27" s="46">
        <v>16.747</v>
      </c>
      <c r="N27" s="4">
        <f t="shared" si="0"/>
        <v>1616.1030000000001</v>
      </c>
      <c r="P27" s="52">
        <v>1972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63"/>
      <c r="AC27" s="40"/>
    </row>
    <row r="28" spans="1:29" x14ac:dyDescent="0.25">
      <c r="A28" s="52">
        <v>1973</v>
      </c>
      <c r="B28" s="4">
        <v>25.120999999999999</v>
      </c>
      <c r="C28" s="4">
        <v>46.055</v>
      </c>
      <c r="D28" s="4">
        <v>121.42</v>
      </c>
      <c r="E28" s="4">
        <v>242.83</v>
      </c>
      <c r="F28" s="4">
        <v>272.14</v>
      </c>
      <c r="G28" s="4">
        <v>339.13</v>
      </c>
      <c r="H28" s="4">
        <v>305.64</v>
      </c>
      <c r="I28" s="4">
        <v>255.39</v>
      </c>
      <c r="J28" s="4">
        <v>163.29</v>
      </c>
      <c r="K28" s="4">
        <v>75.361999999999995</v>
      </c>
      <c r="L28" s="4">
        <v>37.680999999999997</v>
      </c>
      <c r="M28" s="46">
        <v>29.308</v>
      </c>
      <c r="N28" s="4">
        <f t="shared" si="0"/>
        <v>1913.3669999999997</v>
      </c>
      <c r="P28" s="52">
        <v>1973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63"/>
      <c r="AC28" s="40"/>
    </row>
    <row r="29" spans="1:29" x14ac:dyDescent="0.25">
      <c r="A29" s="52">
        <v>1974</v>
      </c>
      <c r="B29" s="4">
        <v>29.308</v>
      </c>
      <c r="C29" s="4">
        <v>50.241999999999997</v>
      </c>
      <c r="D29" s="4">
        <v>133.97999999999999</v>
      </c>
      <c r="E29" s="2">
        <v>234.46</v>
      </c>
      <c r="F29" s="4">
        <v>255.39</v>
      </c>
      <c r="G29" s="4">
        <v>259.58</v>
      </c>
      <c r="H29" s="4">
        <v>247.02</v>
      </c>
      <c r="I29" s="4">
        <v>213.53</v>
      </c>
      <c r="J29" s="4">
        <v>163.29</v>
      </c>
      <c r="K29" s="4">
        <v>46.055</v>
      </c>
      <c r="L29" s="4">
        <v>37.680999999999997</v>
      </c>
      <c r="M29" s="46">
        <v>20.934000000000001</v>
      </c>
      <c r="N29" s="4">
        <f t="shared" si="0"/>
        <v>1691.47</v>
      </c>
      <c r="P29" s="52">
        <v>1974</v>
      </c>
      <c r="Q29" s="40"/>
      <c r="R29" s="40"/>
      <c r="S29" s="40"/>
      <c r="T29" s="38"/>
      <c r="U29" s="40"/>
      <c r="V29" s="40"/>
      <c r="W29" s="40"/>
      <c r="X29" s="40"/>
      <c r="Y29" s="40"/>
      <c r="Z29" s="40"/>
      <c r="AA29" s="40"/>
      <c r="AB29" s="63"/>
      <c r="AC29" s="40"/>
    </row>
    <row r="30" spans="1:29" x14ac:dyDescent="0.25">
      <c r="A30" s="52">
        <v>1975</v>
      </c>
      <c r="B30" s="4">
        <v>33.494</v>
      </c>
      <c r="C30" s="4">
        <v>66.989000000000004</v>
      </c>
      <c r="D30" s="4">
        <v>146.54</v>
      </c>
      <c r="E30" s="4">
        <v>184.22</v>
      </c>
      <c r="F30" s="4">
        <v>297.26</v>
      </c>
      <c r="G30" s="4">
        <v>276.33</v>
      </c>
      <c r="H30" s="4">
        <v>280.52</v>
      </c>
      <c r="I30" s="4">
        <v>234.46</v>
      </c>
      <c r="J30" s="4">
        <v>196.78</v>
      </c>
      <c r="K30" s="4">
        <v>104.67</v>
      </c>
      <c r="L30" s="4">
        <v>46.055</v>
      </c>
      <c r="M30" s="46">
        <v>20.934000000000001</v>
      </c>
      <c r="N30" s="4">
        <f t="shared" si="0"/>
        <v>1888.252</v>
      </c>
      <c r="P30" s="52">
        <v>1975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63"/>
      <c r="AC30" s="40"/>
    </row>
    <row r="31" spans="1:29" x14ac:dyDescent="0.25">
      <c r="A31" s="52">
        <v>1976</v>
      </c>
      <c r="B31" s="4">
        <v>35.168999999999997</v>
      </c>
      <c r="C31" s="4">
        <v>61.965000000000003</v>
      </c>
      <c r="D31" s="4">
        <v>177.94</v>
      </c>
      <c r="E31" s="4">
        <v>206.83</v>
      </c>
      <c r="F31" s="4">
        <v>243.67</v>
      </c>
      <c r="G31" s="4">
        <v>277.17</v>
      </c>
      <c r="H31" s="4">
        <v>306.89</v>
      </c>
      <c r="I31" s="4">
        <v>260.42</v>
      </c>
      <c r="J31" s="4">
        <v>160.35</v>
      </c>
      <c r="K31" s="4">
        <v>82.899000000000001</v>
      </c>
      <c r="L31" s="4">
        <v>31.401</v>
      </c>
      <c r="M31" s="46">
        <v>20.097000000000001</v>
      </c>
      <c r="N31" s="4">
        <f t="shared" si="0"/>
        <v>1864.8009999999999</v>
      </c>
      <c r="P31" s="52">
        <v>1976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63"/>
      <c r="AC31" s="40"/>
    </row>
    <row r="32" spans="1:29" x14ac:dyDescent="0.25">
      <c r="A32" s="52">
        <v>1977</v>
      </c>
      <c r="B32" s="4">
        <v>28.47</v>
      </c>
      <c r="C32" s="4">
        <v>51.915999999999997</v>
      </c>
      <c r="D32" s="4">
        <v>107.6</v>
      </c>
      <c r="E32" s="4">
        <v>154.07</v>
      </c>
      <c r="F32" s="4">
        <v>296.01</v>
      </c>
      <c r="G32" s="4">
        <v>312.33999999999997</v>
      </c>
      <c r="H32" s="4">
        <v>326.57</v>
      </c>
      <c r="I32" s="4">
        <v>258.33</v>
      </c>
      <c r="J32" s="4">
        <v>171.24</v>
      </c>
      <c r="K32" s="4">
        <v>83.736000000000004</v>
      </c>
      <c r="L32" s="4">
        <v>33.494</v>
      </c>
      <c r="M32" s="46">
        <v>19.678000000000001</v>
      </c>
      <c r="N32" s="4">
        <f t="shared" si="0"/>
        <v>1843.454</v>
      </c>
      <c r="P32" s="52">
        <v>1977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63"/>
      <c r="AC32" s="40"/>
    </row>
    <row r="33" spans="1:29" x14ac:dyDescent="0.25">
      <c r="A33" s="52">
        <v>1978</v>
      </c>
      <c r="B33" s="4">
        <v>30.981999999999999</v>
      </c>
      <c r="C33" s="4">
        <v>64.477000000000004</v>
      </c>
      <c r="D33" s="4">
        <v>110.53</v>
      </c>
      <c r="E33" s="4">
        <v>192.59</v>
      </c>
      <c r="F33" s="4">
        <v>265.44</v>
      </c>
      <c r="G33" s="4">
        <v>307.73</v>
      </c>
      <c r="H33" s="4">
        <v>331.18</v>
      </c>
      <c r="I33" s="4">
        <v>256.64999999999998</v>
      </c>
      <c r="J33" s="4">
        <v>174.17</v>
      </c>
      <c r="K33" s="4">
        <v>105.09</v>
      </c>
      <c r="L33" s="4">
        <v>28.052</v>
      </c>
      <c r="M33" s="46">
        <v>28.47</v>
      </c>
      <c r="N33" s="4">
        <f t="shared" si="0"/>
        <v>1895.3610000000001</v>
      </c>
      <c r="P33" s="52">
        <v>1978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63"/>
      <c r="AC33" s="40"/>
    </row>
    <row r="34" spans="1:29" x14ac:dyDescent="0.25">
      <c r="A34" s="52">
        <v>1979</v>
      </c>
      <c r="B34" s="4">
        <v>51.5</v>
      </c>
      <c r="C34" s="4">
        <v>95.459000000000003</v>
      </c>
      <c r="D34" s="4">
        <v>134.39599999999999</v>
      </c>
      <c r="E34" s="4">
        <v>189.24</v>
      </c>
      <c r="F34" s="4">
        <v>272.56</v>
      </c>
      <c r="G34" s="4">
        <v>279.26</v>
      </c>
      <c r="H34" s="4">
        <v>281.35000000000002</v>
      </c>
      <c r="I34" s="4">
        <v>224.41</v>
      </c>
      <c r="J34" s="4">
        <v>171.24</v>
      </c>
      <c r="K34" s="4">
        <v>109.69</v>
      </c>
      <c r="L34" s="4">
        <v>44.38</v>
      </c>
      <c r="M34" s="46">
        <v>21.353000000000002</v>
      </c>
      <c r="N34" s="4">
        <f t="shared" si="0"/>
        <v>1874.8380000000002</v>
      </c>
      <c r="P34" s="52">
        <v>1979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63"/>
      <c r="AC34" s="40"/>
    </row>
    <row r="35" spans="1:29" x14ac:dyDescent="0.25">
      <c r="A35" s="52">
        <v>1980</v>
      </c>
      <c r="B35" s="2">
        <v>46.4</v>
      </c>
      <c r="C35" s="2">
        <v>84.29</v>
      </c>
      <c r="D35" s="2">
        <v>179.78</v>
      </c>
      <c r="E35" s="2">
        <v>228.58</v>
      </c>
      <c r="F35" s="2">
        <v>296.18</v>
      </c>
      <c r="G35" s="2">
        <v>305.32</v>
      </c>
      <c r="H35" s="2">
        <v>297.07</v>
      </c>
      <c r="I35" s="2">
        <v>259.18</v>
      </c>
      <c r="J35" s="2">
        <v>170.61</v>
      </c>
      <c r="K35" s="2">
        <v>83.49</v>
      </c>
      <c r="L35" s="2">
        <v>43.09</v>
      </c>
      <c r="M35" s="16">
        <v>22.06</v>
      </c>
      <c r="N35" s="4">
        <f t="shared" si="0"/>
        <v>2016.0499999999997</v>
      </c>
      <c r="P35" s="52">
        <v>1980</v>
      </c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45"/>
      <c r="AC35" s="40"/>
    </row>
    <row r="36" spans="1:29" x14ac:dyDescent="0.25">
      <c r="A36" s="52">
        <v>1981</v>
      </c>
      <c r="B36" s="29">
        <v>38.71</v>
      </c>
      <c r="C36" s="29">
        <v>75.38</v>
      </c>
      <c r="D36" s="29">
        <v>135.28</v>
      </c>
      <c r="E36" s="29">
        <v>180.16</v>
      </c>
      <c r="F36" s="29">
        <v>218.94</v>
      </c>
      <c r="G36" s="29">
        <v>300.89999999999998</v>
      </c>
      <c r="H36" s="29">
        <v>266.02999999999997</v>
      </c>
      <c r="I36" s="29">
        <v>200.75</v>
      </c>
      <c r="J36" s="29">
        <v>160.25</v>
      </c>
      <c r="K36" s="29">
        <v>81.36</v>
      </c>
      <c r="L36" s="29">
        <v>39.090000000000003</v>
      </c>
      <c r="M36" s="47">
        <v>27.92</v>
      </c>
      <c r="N36" s="4">
        <f t="shared" si="0"/>
        <v>1724.77</v>
      </c>
      <c r="P36" s="52">
        <v>1981</v>
      </c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1"/>
      <c r="AC36" s="40"/>
    </row>
    <row r="37" spans="1:29" x14ac:dyDescent="0.25">
      <c r="A37" s="52">
        <v>1982</v>
      </c>
      <c r="B37" s="30">
        <v>34.020000000000003</v>
      </c>
      <c r="C37" s="30">
        <v>69.41</v>
      </c>
      <c r="D37" s="30">
        <v>128.77000000000001</v>
      </c>
      <c r="E37" s="30">
        <v>206.19</v>
      </c>
      <c r="F37" s="30">
        <v>245.42</v>
      </c>
      <c r="G37" s="30">
        <v>249.9</v>
      </c>
      <c r="H37" s="30">
        <v>269.49</v>
      </c>
      <c r="I37" s="30">
        <v>217.86</v>
      </c>
      <c r="J37" s="30">
        <v>166.72</v>
      </c>
      <c r="K37" s="30">
        <v>97.78</v>
      </c>
      <c r="L37" s="30">
        <v>38.6</v>
      </c>
      <c r="M37" s="48">
        <v>19.41</v>
      </c>
      <c r="N37" s="4">
        <f t="shared" si="0"/>
        <v>1743.57</v>
      </c>
      <c r="P37" s="52">
        <v>1982</v>
      </c>
      <c r="Q37" s="30">
        <v>49.72</v>
      </c>
      <c r="R37" s="30">
        <v>89.43</v>
      </c>
      <c r="S37" s="30">
        <v>146.91999999999999</v>
      </c>
      <c r="T37" s="30">
        <v>180.31</v>
      </c>
      <c r="U37" s="30">
        <v>228.83</v>
      </c>
      <c r="V37" s="30">
        <v>179.26</v>
      </c>
      <c r="W37" s="30">
        <v>259.73</v>
      </c>
      <c r="X37" s="30">
        <v>245.74</v>
      </c>
      <c r="Y37" s="30">
        <v>170.27</v>
      </c>
      <c r="Z37" s="30">
        <v>87.55</v>
      </c>
      <c r="AA37" s="30">
        <v>54.6</v>
      </c>
      <c r="AB37" s="48">
        <v>26.79</v>
      </c>
      <c r="AC37" s="4">
        <f t="shared" ref="AC37:AC44" si="1">SUM(Q37:AB37)</f>
        <v>1719.1499999999999</v>
      </c>
    </row>
    <row r="38" spans="1:29" x14ac:dyDescent="0.25">
      <c r="A38" s="52">
        <v>1983</v>
      </c>
      <c r="B38" s="30">
        <v>22.61</v>
      </c>
      <c r="C38" s="30">
        <v>87.31</v>
      </c>
      <c r="D38" s="30">
        <v>148.47</v>
      </c>
      <c r="E38" s="30">
        <v>205.84</v>
      </c>
      <c r="F38" s="30">
        <v>336.79</v>
      </c>
      <c r="G38" s="30">
        <v>297.98</v>
      </c>
      <c r="H38" s="30">
        <v>351.1</v>
      </c>
      <c r="I38" s="30">
        <v>219.5</v>
      </c>
      <c r="J38" s="30">
        <v>166.77</v>
      </c>
      <c r="K38" s="30">
        <v>83.29</v>
      </c>
      <c r="L38" s="30">
        <v>40.99</v>
      </c>
      <c r="M38" s="48">
        <v>23.52</v>
      </c>
      <c r="N38" s="4">
        <f t="shared" si="0"/>
        <v>1984.1699999999998</v>
      </c>
      <c r="P38" s="52">
        <v>1983</v>
      </c>
      <c r="Q38" s="89" t="s">
        <v>13</v>
      </c>
      <c r="R38" s="89" t="s">
        <v>13</v>
      </c>
      <c r="S38" s="89" t="s">
        <v>13</v>
      </c>
      <c r="T38" s="89" t="s">
        <v>13</v>
      </c>
      <c r="U38" s="89" t="s">
        <v>13</v>
      </c>
      <c r="V38" s="89" t="s">
        <v>13</v>
      </c>
      <c r="W38" s="30">
        <v>300.95</v>
      </c>
      <c r="X38" s="30">
        <v>205.3</v>
      </c>
      <c r="Y38" s="30">
        <v>103.23</v>
      </c>
      <c r="Z38" s="30">
        <v>63.93</v>
      </c>
      <c r="AA38" s="30">
        <v>49.94</v>
      </c>
      <c r="AB38" s="48">
        <v>26.55</v>
      </c>
      <c r="AC38" s="90">
        <f t="shared" si="1"/>
        <v>749.89999999999986</v>
      </c>
    </row>
    <row r="39" spans="1:29" x14ac:dyDescent="0.25">
      <c r="A39" s="52">
        <v>1984</v>
      </c>
      <c r="B39" s="30">
        <v>33.04</v>
      </c>
      <c r="C39" s="30">
        <v>85.34</v>
      </c>
      <c r="D39" s="30">
        <v>146.38999999999999</v>
      </c>
      <c r="E39" s="30">
        <v>216.9</v>
      </c>
      <c r="F39" s="30">
        <v>352.03</v>
      </c>
      <c r="G39" s="30">
        <v>319.33</v>
      </c>
      <c r="H39" s="146" t="s">
        <v>13</v>
      </c>
      <c r="I39" s="30">
        <v>219.81</v>
      </c>
      <c r="J39" s="30">
        <v>137.47</v>
      </c>
      <c r="K39" s="30">
        <v>86.64</v>
      </c>
      <c r="L39" s="30">
        <v>32.549999999999997</v>
      </c>
      <c r="M39" s="48">
        <v>22.46</v>
      </c>
      <c r="N39" s="90">
        <f t="shared" si="0"/>
        <v>1651.96</v>
      </c>
      <c r="P39" s="52">
        <v>1984</v>
      </c>
      <c r="Q39" s="30">
        <v>41.07</v>
      </c>
      <c r="R39" s="30">
        <v>85.81</v>
      </c>
      <c r="S39" s="30">
        <v>160.47</v>
      </c>
      <c r="T39" s="30">
        <v>215.93</v>
      </c>
      <c r="U39" s="30">
        <v>269.33999999999997</v>
      </c>
      <c r="V39" s="30">
        <v>301.58999999999997</v>
      </c>
      <c r="W39" s="77">
        <v>314.13</v>
      </c>
      <c r="X39" s="30">
        <v>247.6</v>
      </c>
      <c r="Y39" s="30">
        <v>140.77000000000001</v>
      </c>
      <c r="Z39" s="30">
        <v>69.86</v>
      </c>
      <c r="AA39" s="30">
        <v>31.29</v>
      </c>
      <c r="AB39" s="48">
        <v>20.5</v>
      </c>
      <c r="AC39" s="4">
        <f t="shared" si="1"/>
        <v>1898.36</v>
      </c>
    </row>
    <row r="40" spans="1:29" x14ac:dyDescent="0.25">
      <c r="A40" s="52">
        <v>1985</v>
      </c>
      <c r="B40" s="30">
        <v>52.04</v>
      </c>
      <c r="C40" s="30">
        <v>101.12</v>
      </c>
      <c r="D40" s="30">
        <v>144.66999999999999</v>
      </c>
      <c r="E40" s="30">
        <v>192.53</v>
      </c>
      <c r="F40" s="30">
        <v>249.95</v>
      </c>
      <c r="G40" s="30">
        <v>275.43</v>
      </c>
      <c r="H40" s="30">
        <v>256.52999999999997</v>
      </c>
      <c r="I40" s="30">
        <v>220.13</v>
      </c>
      <c r="J40" s="30">
        <v>138.03</v>
      </c>
      <c r="K40" s="30">
        <v>75.39</v>
      </c>
      <c r="L40" s="30">
        <v>40.24</v>
      </c>
      <c r="M40" s="48">
        <v>21.49</v>
      </c>
      <c r="N40" s="4">
        <f t="shared" si="0"/>
        <v>1767.5500000000002</v>
      </c>
      <c r="P40" s="52">
        <v>1985</v>
      </c>
      <c r="Q40" s="30">
        <v>49.22</v>
      </c>
      <c r="R40" s="30">
        <v>97.55</v>
      </c>
      <c r="S40" s="30">
        <v>150.05000000000001</v>
      </c>
      <c r="T40" s="30">
        <v>202.28</v>
      </c>
      <c r="U40" s="30">
        <v>280.76</v>
      </c>
      <c r="V40" s="30">
        <v>265.55</v>
      </c>
      <c r="W40" s="30">
        <v>261.69</v>
      </c>
      <c r="X40" s="30">
        <v>219.74</v>
      </c>
      <c r="Y40" s="30">
        <v>139.94999999999999</v>
      </c>
      <c r="Z40" s="30">
        <v>85.25</v>
      </c>
      <c r="AA40" s="30">
        <v>45.82</v>
      </c>
      <c r="AB40" s="48">
        <v>26.2</v>
      </c>
      <c r="AC40" s="4">
        <f t="shared" si="1"/>
        <v>1824.0600000000002</v>
      </c>
    </row>
    <row r="41" spans="1:29" x14ac:dyDescent="0.25">
      <c r="A41" s="52">
        <v>1986</v>
      </c>
      <c r="B41" s="30">
        <v>39.51</v>
      </c>
      <c r="C41" s="30">
        <v>97.33</v>
      </c>
      <c r="D41" s="30">
        <v>110.57</v>
      </c>
      <c r="E41" s="30">
        <v>182.34</v>
      </c>
      <c r="F41" s="30">
        <v>224.47</v>
      </c>
      <c r="G41" s="30">
        <v>232.11</v>
      </c>
      <c r="H41" s="30">
        <v>278.58999999999997</v>
      </c>
      <c r="I41" s="30">
        <v>205.64</v>
      </c>
      <c r="J41" s="30">
        <v>150.53</v>
      </c>
      <c r="K41" s="30">
        <v>96.3</v>
      </c>
      <c r="L41" s="30">
        <v>38.700000000000003</v>
      </c>
      <c r="M41" s="48">
        <v>24.25</v>
      </c>
      <c r="N41" s="4">
        <f t="shared" si="0"/>
        <v>1680.34</v>
      </c>
      <c r="P41" s="52">
        <v>1986</v>
      </c>
      <c r="Q41" s="30">
        <v>58.18</v>
      </c>
      <c r="R41" s="30">
        <v>116.09</v>
      </c>
      <c r="S41" s="30">
        <v>140.81</v>
      </c>
      <c r="T41" s="30">
        <v>238.12</v>
      </c>
      <c r="U41" s="30">
        <v>284.7</v>
      </c>
      <c r="V41" s="30">
        <v>322.2</v>
      </c>
      <c r="W41" s="30">
        <v>335.85</v>
      </c>
      <c r="X41" s="30">
        <v>248.85</v>
      </c>
      <c r="Y41" s="30">
        <v>163.80000000000001</v>
      </c>
      <c r="Z41" s="30">
        <v>113.7</v>
      </c>
      <c r="AA41" s="30">
        <v>47.7</v>
      </c>
      <c r="AB41" s="48">
        <v>31.8</v>
      </c>
      <c r="AC41" s="4">
        <f t="shared" si="1"/>
        <v>2101.8000000000002</v>
      </c>
    </row>
    <row r="42" spans="1:29" x14ac:dyDescent="0.25">
      <c r="A42" s="52">
        <v>1987</v>
      </c>
      <c r="B42" s="31">
        <v>57.98</v>
      </c>
      <c r="C42" s="31">
        <v>72.3</v>
      </c>
      <c r="D42" s="31">
        <v>190</v>
      </c>
      <c r="E42" s="146" t="s">
        <v>13</v>
      </c>
      <c r="F42" s="89">
        <v>258.10000000000002</v>
      </c>
      <c r="G42" s="30">
        <v>291.39999999999998</v>
      </c>
      <c r="H42" s="89">
        <v>263.81</v>
      </c>
      <c r="I42" s="89">
        <v>205.59</v>
      </c>
      <c r="J42" s="89">
        <v>136.80000000000001</v>
      </c>
      <c r="K42" s="89">
        <v>88.95</v>
      </c>
      <c r="L42" s="89">
        <v>40.47</v>
      </c>
      <c r="M42" s="134">
        <v>19.329999999999998</v>
      </c>
      <c r="N42" s="90">
        <f t="shared" si="0"/>
        <v>1624.7299999999998</v>
      </c>
      <c r="P42" s="52">
        <v>1987</v>
      </c>
      <c r="Q42" s="30">
        <v>69.81</v>
      </c>
      <c r="R42" s="30">
        <v>75.25</v>
      </c>
      <c r="S42" s="30">
        <v>170.8</v>
      </c>
      <c r="T42" s="77">
        <v>189.1</v>
      </c>
      <c r="U42" s="30">
        <v>253.25</v>
      </c>
      <c r="V42" s="30">
        <v>237.05</v>
      </c>
      <c r="W42" s="30">
        <v>245.65</v>
      </c>
      <c r="X42" s="30">
        <v>185.85</v>
      </c>
      <c r="Y42" s="30">
        <v>135.80000000000001</v>
      </c>
      <c r="Z42" s="30">
        <v>88.65</v>
      </c>
      <c r="AA42" s="30">
        <v>41.45</v>
      </c>
      <c r="AB42" s="48">
        <v>27.05</v>
      </c>
      <c r="AC42" s="4">
        <f t="shared" si="1"/>
        <v>1719.71</v>
      </c>
    </row>
    <row r="43" spans="1:29" x14ac:dyDescent="0.25">
      <c r="A43" s="52">
        <v>1988</v>
      </c>
      <c r="B43" s="147">
        <v>31.8</v>
      </c>
      <c r="C43" s="147">
        <v>76.17</v>
      </c>
      <c r="D43" s="32">
        <v>192.58</v>
      </c>
      <c r="E43" s="146" t="s">
        <v>13</v>
      </c>
      <c r="F43" s="146" t="s">
        <v>13</v>
      </c>
      <c r="G43" s="32">
        <v>383.69</v>
      </c>
      <c r="H43" s="32">
        <v>443.08</v>
      </c>
      <c r="I43" s="147">
        <v>339.56</v>
      </c>
      <c r="J43" s="147">
        <v>202.58</v>
      </c>
      <c r="K43" s="147">
        <v>140.51</v>
      </c>
      <c r="L43" s="147">
        <v>73.55</v>
      </c>
      <c r="M43" s="91">
        <v>43.83</v>
      </c>
      <c r="N43" s="90">
        <f t="shared" si="0"/>
        <v>1927.3499999999997</v>
      </c>
      <c r="P43" s="52">
        <v>1988</v>
      </c>
      <c r="Q43" s="32">
        <v>45.95</v>
      </c>
      <c r="R43" s="65">
        <v>96.3</v>
      </c>
      <c r="S43" s="30">
        <v>169.70099999999999</v>
      </c>
      <c r="T43" s="77">
        <v>211.36</v>
      </c>
      <c r="U43" s="65">
        <v>255.61</v>
      </c>
      <c r="V43" s="65">
        <v>315.98</v>
      </c>
      <c r="W43" s="65">
        <v>259.45</v>
      </c>
      <c r="X43" s="65">
        <v>238.38</v>
      </c>
      <c r="Y43" s="65">
        <v>163.96</v>
      </c>
      <c r="Z43" s="65">
        <v>88.57</v>
      </c>
      <c r="AA43" s="65">
        <v>49.84</v>
      </c>
      <c r="AB43" s="100">
        <v>34.65</v>
      </c>
      <c r="AC43" s="90">
        <f t="shared" si="1"/>
        <v>1929.7510000000002</v>
      </c>
    </row>
    <row r="44" spans="1:29" x14ac:dyDescent="0.25">
      <c r="A44" s="52">
        <v>1989</v>
      </c>
      <c r="B44" s="32">
        <v>41.37</v>
      </c>
      <c r="C44" s="32">
        <v>66.81</v>
      </c>
      <c r="D44" s="32">
        <v>191.21</v>
      </c>
      <c r="E44" s="32">
        <v>303.2</v>
      </c>
      <c r="F44" s="32">
        <v>344.6</v>
      </c>
      <c r="G44" s="32">
        <v>401.81</v>
      </c>
      <c r="H44" s="32">
        <v>346.6</v>
      </c>
      <c r="I44" s="32">
        <v>318.88</v>
      </c>
      <c r="J44" s="32">
        <v>205.48</v>
      </c>
      <c r="K44" s="32">
        <v>152.46</v>
      </c>
      <c r="L44" s="32">
        <v>67.989999999999995</v>
      </c>
      <c r="M44" s="49">
        <v>53.45</v>
      </c>
      <c r="N44" s="4">
        <f t="shared" si="0"/>
        <v>2493.8599999999997</v>
      </c>
      <c r="P44" s="52">
        <v>1989</v>
      </c>
      <c r="Q44" s="32">
        <v>31.33</v>
      </c>
      <c r="R44" s="32">
        <v>74.56</v>
      </c>
      <c r="S44" s="32">
        <v>134.05000000000001</v>
      </c>
      <c r="T44" s="65">
        <v>194.3</v>
      </c>
      <c r="U44" s="65">
        <v>252.7</v>
      </c>
      <c r="V44" s="32">
        <v>280.77999999999997</v>
      </c>
      <c r="W44" s="32">
        <v>255.89</v>
      </c>
      <c r="X44" s="32">
        <v>211.11</v>
      </c>
      <c r="Y44" s="32">
        <v>151.27000000000001</v>
      </c>
      <c r="Z44" s="32">
        <v>99.25</v>
      </c>
      <c r="AA44" s="32">
        <v>40.26</v>
      </c>
      <c r="AB44" s="49">
        <v>31.69</v>
      </c>
      <c r="AC44" s="4">
        <f t="shared" si="1"/>
        <v>1757.1900000000003</v>
      </c>
    </row>
    <row r="45" spans="1:29" x14ac:dyDescent="0.25">
      <c r="A45" s="52">
        <v>1990</v>
      </c>
      <c r="B45" s="32">
        <v>57.8</v>
      </c>
      <c r="C45" s="32">
        <v>74.349999999999994</v>
      </c>
      <c r="D45" s="32">
        <v>165.95</v>
      </c>
      <c r="E45" s="32">
        <v>273.83999999999997</v>
      </c>
      <c r="F45" s="32">
        <v>317.19</v>
      </c>
      <c r="G45" s="32">
        <v>359.58</v>
      </c>
      <c r="H45" s="32">
        <v>413.41</v>
      </c>
      <c r="I45" s="147">
        <v>264.08999999999997</v>
      </c>
      <c r="J45" s="32">
        <v>225.36</v>
      </c>
      <c r="K45" s="147">
        <v>108.03</v>
      </c>
      <c r="L45" s="147">
        <v>43.12</v>
      </c>
      <c r="M45" s="49">
        <v>30.26</v>
      </c>
      <c r="N45" s="90">
        <f t="shared" si="0"/>
        <v>2332.98</v>
      </c>
      <c r="P45" s="52">
        <v>1990</v>
      </c>
      <c r="Q45" s="32">
        <v>35.020000000000003</v>
      </c>
      <c r="R45" s="32">
        <v>54.42</v>
      </c>
      <c r="S45" s="32">
        <v>108.94</v>
      </c>
      <c r="T45" s="65">
        <v>181.8</v>
      </c>
      <c r="U45" s="32">
        <v>193.88</v>
      </c>
      <c r="V45" s="32">
        <v>215.57</v>
      </c>
      <c r="W45" s="32">
        <v>227.79</v>
      </c>
      <c r="X45" s="32">
        <v>181.59</v>
      </c>
      <c r="Y45" s="32">
        <v>124.67</v>
      </c>
      <c r="Z45" s="32">
        <v>90.69</v>
      </c>
      <c r="AA45" s="32">
        <v>44.5</v>
      </c>
      <c r="AB45" s="49">
        <v>30.44</v>
      </c>
      <c r="AC45" s="4">
        <f t="shared" ref="AC45" si="2">SUM(Q45:AB45)</f>
        <v>1489.31</v>
      </c>
    </row>
    <row r="46" spans="1:29" x14ac:dyDescent="0.25">
      <c r="A46" s="52">
        <v>1991</v>
      </c>
      <c r="B46" s="2">
        <v>34.770000000000003</v>
      </c>
      <c r="C46" s="2">
        <v>82.68</v>
      </c>
      <c r="D46" s="2">
        <v>125.55</v>
      </c>
      <c r="E46" s="2">
        <v>204.6</v>
      </c>
      <c r="F46" s="2">
        <v>236.45</v>
      </c>
      <c r="G46" s="2">
        <v>264.27</v>
      </c>
      <c r="H46" s="2">
        <v>421.97</v>
      </c>
      <c r="I46" s="2">
        <v>373.3</v>
      </c>
      <c r="J46" s="2">
        <v>233.82</v>
      </c>
      <c r="K46" s="2">
        <v>150.26</v>
      </c>
      <c r="L46" s="2">
        <v>61.84</v>
      </c>
      <c r="M46" s="2">
        <v>50.11</v>
      </c>
      <c r="N46" s="4">
        <f t="shared" si="0"/>
        <v>2239.6200000000003</v>
      </c>
      <c r="P46" s="52">
        <v>1991</v>
      </c>
      <c r="Q46" s="2">
        <v>38.58</v>
      </c>
      <c r="R46" s="2">
        <v>98.64</v>
      </c>
      <c r="S46" s="2">
        <v>146.52000000000001</v>
      </c>
      <c r="T46" s="2">
        <v>213.24</v>
      </c>
      <c r="U46" s="2">
        <v>267.72000000000003</v>
      </c>
      <c r="V46" s="2">
        <v>290.32</v>
      </c>
      <c r="W46" s="2">
        <v>268.39999999999998</v>
      </c>
      <c r="X46" s="2">
        <v>249.84</v>
      </c>
      <c r="Y46" s="2">
        <v>159.13</v>
      </c>
      <c r="Z46" s="2">
        <v>102.45</v>
      </c>
      <c r="AA46" s="2">
        <v>46.96</v>
      </c>
      <c r="AB46" s="2">
        <v>31.76</v>
      </c>
      <c r="AC46" s="4">
        <f>SUM(Q46:AB46)</f>
        <v>1913.56</v>
      </c>
    </row>
    <row r="47" spans="1:29" x14ac:dyDescent="0.25">
      <c r="A47" s="52">
        <v>1992</v>
      </c>
      <c r="B47" s="98">
        <v>64.72</v>
      </c>
      <c r="C47" s="2">
        <v>99.69</v>
      </c>
      <c r="D47" s="2">
        <v>241.16</v>
      </c>
      <c r="E47" s="2">
        <v>359.68</v>
      </c>
      <c r="F47" s="98" t="s">
        <v>13</v>
      </c>
      <c r="G47" s="98" t="s">
        <v>13</v>
      </c>
      <c r="H47" s="98" t="s">
        <v>13</v>
      </c>
      <c r="I47" s="2">
        <v>419.98</v>
      </c>
      <c r="J47" s="2">
        <v>250.88</v>
      </c>
      <c r="K47" s="2">
        <v>170.01</v>
      </c>
      <c r="L47" s="2">
        <v>71.78</v>
      </c>
      <c r="M47" s="2">
        <v>47.96</v>
      </c>
      <c r="N47" s="90">
        <f t="shared" si="0"/>
        <v>1725.8600000000001</v>
      </c>
      <c r="P47" s="52">
        <v>1992</v>
      </c>
      <c r="Q47" s="2">
        <v>40.14</v>
      </c>
      <c r="R47" s="2">
        <v>75.67</v>
      </c>
      <c r="S47" s="2">
        <v>142.31</v>
      </c>
      <c r="T47" s="2">
        <v>233.95</v>
      </c>
      <c r="U47" s="2">
        <v>251.09</v>
      </c>
      <c r="V47" s="2">
        <v>266.39</v>
      </c>
      <c r="W47" s="2">
        <v>250.55</v>
      </c>
      <c r="X47" s="2">
        <v>243.02</v>
      </c>
      <c r="Y47" s="2">
        <v>150.28</v>
      </c>
      <c r="Z47" s="2">
        <v>102.19</v>
      </c>
      <c r="AA47" s="2">
        <v>43.53</v>
      </c>
      <c r="AB47" s="2">
        <v>31.77</v>
      </c>
      <c r="AC47" s="4">
        <f t="shared" ref="AC47:AC77" si="3">SUM(Q47:AB47)</f>
        <v>1830.8899999999999</v>
      </c>
    </row>
    <row r="48" spans="1:29" x14ac:dyDescent="0.25">
      <c r="A48" s="52">
        <v>1993</v>
      </c>
      <c r="B48" s="2">
        <v>79.59</v>
      </c>
      <c r="C48" s="2">
        <v>117.24</v>
      </c>
      <c r="D48" s="98" t="s">
        <v>13</v>
      </c>
      <c r="E48" s="98" t="s">
        <v>13</v>
      </c>
      <c r="F48" s="2">
        <v>297.63</v>
      </c>
      <c r="G48" s="2">
        <v>304.23</v>
      </c>
      <c r="H48" s="2">
        <v>220.44</v>
      </c>
      <c r="I48" s="2">
        <v>235.97</v>
      </c>
      <c r="J48" s="2">
        <v>210.6</v>
      </c>
      <c r="K48" s="2">
        <v>87.31</v>
      </c>
      <c r="L48" s="2">
        <v>63.75</v>
      </c>
      <c r="M48" s="98">
        <v>29.55</v>
      </c>
      <c r="N48" s="90">
        <f t="shared" si="0"/>
        <v>1646.31</v>
      </c>
      <c r="P48" s="52">
        <v>1993</v>
      </c>
      <c r="Q48" s="2">
        <v>39.79</v>
      </c>
      <c r="R48" s="2">
        <v>80.42</v>
      </c>
      <c r="S48" s="2">
        <v>150.38</v>
      </c>
      <c r="T48" s="2">
        <v>183.93</v>
      </c>
      <c r="U48" s="2">
        <v>230.67</v>
      </c>
      <c r="V48" s="2">
        <v>249.11</v>
      </c>
      <c r="W48" s="2">
        <v>210.55</v>
      </c>
      <c r="X48" s="2">
        <v>177.78</v>
      </c>
      <c r="Y48" s="2">
        <v>133.29</v>
      </c>
      <c r="Z48" s="2">
        <v>88.5</v>
      </c>
      <c r="AA48" s="2">
        <v>49.33</v>
      </c>
      <c r="AB48" s="2">
        <v>22.51</v>
      </c>
      <c r="AC48" s="4">
        <f t="shared" si="3"/>
        <v>1616.26</v>
      </c>
    </row>
    <row r="49" spans="1:29" x14ac:dyDescent="0.25">
      <c r="A49" s="52">
        <v>1994</v>
      </c>
      <c r="B49" s="98" t="s">
        <v>13</v>
      </c>
      <c r="C49" s="97" t="s">
        <v>13</v>
      </c>
      <c r="D49" s="98" t="s">
        <v>13</v>
      </c>
      <c r="E49" s="98" t="s">
        <v>13</v>
      </c>
      <c r="F49" s="97" t="s">
        <v>13</v>
      </c>
      <c r="G49" s="98" t="s">
        <v>13</v>
      </c>
      <c r="H49" s="98" t="s">
        <v>13</v>
      </c>
      <c r="I49" s="98" t="s">
        <v>13</v>
      </c>
      <c r="J49" s="2">
        <v>206.65</v>
      </c>
      <c r="K49" s="2">
        <v>127.43</v>
      </c>
      <c r="L49" s="98">
        <v>28.5</v>
      </c>
      <c r="M49" s="98">
        <v>47.85</v>
      </c>
      <c r="N49" s="90">
        <f t="shared" si="0"/>
        <v>410.43000000000006</v>
      </c>
      <c r="P49" s="52">
        <v>1994</v>
      </c>
      <c r="Q49" s="2">
        <v>38.409999999999997</v>
      </c>
      <c r="R49" s="97" t="s">
        <v>13</v>
      </c>
      <c r="S49" s="2">
        <v>120.52</v>
      </c>
      <c r="T49" s="2">
        <v>151.51</v>
      </c>
      <c r="U49" s="97" t="s">
        <v>13</v>
      </c>
      <c r="V49" s="2">
        <v>207.2</v>
      </c>
      <c r="W49" s="2">
        <v>148.61000000000001</v>
      </c>
      <c r="X49" s="2">
        <v>225.34399999999999</v>
      </c>
      <c r="Y49" s="2">
        <v>128.65</v>
      </c>
      <c r="Z49" s="2">
        <v>73.17</v>
      </c>
      <c r="AA49" s="2">
        <v>32.17</v>
      </c>
      <c r="AB49" s="2">
        <v>24.59</v>
      </c>
      <c r="AC49" s="90">
        <f t="shared" si="3"/>
        <v>1150.174</v>
      </c>
    </row>
    <row r="50" spans="1:29" x14ac:dyDescent="0.25">
      <c r="A50" s="52">
        <v>1995</v>
      </c>
      <c r="B50" s="2">
        <v>71.62</v>
      </c>
      <c r="C50" s="98" t="s">
        <v>13</v>
      </c>
      <c r="D50" s="2">
        <v>225.98</v>
      </c>
      <c r="E50" s="98">
        <v>237.32</v>
      </c>
      <c r="F50" s="98">
        <v>267.98</v>
      </c>
      <c r="G50" s="98">
        <v>63.13</v>
      </c>
      <c r="H50" s="98">
        <v>172.69</v>
      </c>
      <c r="I50" s="98" t="s">
        <v>13</v>
      </c>
      <c r="J50" s="98" t="s">
        <v>13</v>
      </c>
      <c r="K50" s="2">
        <v>139.46</v>
      </c>
      <c r="L50" s="2">
        <v>51.66</v>
      </c>
      <c r="M50" s="2">
        <v>43.58</v>
      </c>
      <c r="N50" s="90">
        <f t="shared" si="0"/>
        <v>1273.42</v>
      </c>
      <c r="P50" s="52">
        <v>1995</v>
      </c>
      <c r="Q50" s="2">
        <v>36.44</v>
      </c>
      <c r="R50" s="2">
        <v>57.53</v>
      </c>
      <c r="S50" s="2">
        <v>109.08</v>
      </c>
      <c r="T50" s="2">
        <v>157.33000000000001</v>
      </c>
      <c r="U50" s="2">
        <v>223.81</v>
      </c>
      <c r="V50" s="2">
        <v>254.95</v>
      </c>
      <c r="W50" s="2">
        <v>273.39</v>
      </c>
      <c r="X50" s="2">
        <v>179.7</v>
      </c>
      <c r="Y50" s="2">
        <v>137.02000000000001</v>
      </c>
      <c r="Z50" s="2">
        <v>92.05</v>
      </c>
      <c r="AA50" s="2">
        <v>38.39</v>
      </c>
      <c r="AB50" s="2">
        <v>30.56</v>
      </c>
      <c r="AC50" s="4">
        <f t="shared" si="3"/>
        <v>1590.2500000000002</v>
      </c>
    </row>
    <row r="51" spans="1:29" x14ac:dyDescent="0.25">
      <c r="A51" s="52">
        <v>1996</v>
      </c>
      <c r="B51" s="8">
        <v>66.55</v>
      </c>
      <c r="C51" s="8">
        <v>130.82</v>
      </c>
      <c r="D51" s="8">
        <v>266.83999999999997</v>
      </c>
      <c r="E51" s="8">
        <v>311.48</v>
      </c>
      <c r="F51" s="97">
        <v>309.29000000000002</v>
      </c>
      <c r="G51" s="8">
        <v>363.21</v>
      </c>
      <c r="H51" s="8">
        <v>270.77999999999997</v>
      </c>
      <c r="I51" s="8">
        <v>219.08</v>
      </c>
      <c r="J51" s="8">
        <v>172.81</v>
      </c>
      <c r="K51" s="97" t="s">
        <v>13</v>
      </c>
      <c r="L51" s="8">
        <v>23.75</v>
      </c>
      <c r="M51" s="97">
        <v>27.61</v>
      </c>
      <c r="N51" s="90">
        <f t="shared" si="0"/>
        <v>2162.2200000000003</v>
      </c>
      <c r="P51" s="52">
        <v>1996</v>
      </c>
      <c r="Q51" s="8">
        <v>49.33</v>
      </c>
      <c r="R51" s="8">
        <v>92.29</v>
      </c>
      <c r="S51" s="8">
        <v>182.45</v>
      </c>
      <c r="T51" s="97">
        <v>194.73</v>
      </c>
      <c r="U51" s="8">
        <v>234.55</v>
      </c>
      <c r="V51" s="8">
        <v>228.14</v>
      </c>
      <c r="W51" s="8">
        <v>231.26</v>
      </c>
      <c r="X51" s="8">
        <v>180.94</v>
      </c>
      <c r="Y51" s="8">
        <v>113.29</v>
      </c>
      <c r="Z51" s="8">
        <v>86.27</v>
      </c>
      <c r="AA51" s="8">
        <v>33.81</v>
      </c>
      <c r="AB51" s="8">
        <v>29.76</v>
      </c>
      <c r="AC51" s="90">
        <f t="shared" si="3"/>
        <v>1656.82</v>
      </c>
    </row>
    <row r="52" spans="1:29" x14ac:dyDescent="0.25">
      <c r="A52" s="52">
        <v>1997</v>
      </c>
      <c r="B52" s="98">
        <v>44.97</v>
      </c>
      <c r="C52" s="2">
        <v>56.5</v>
      </c>
      <c r="D52" s="2">
        <v>123.97</v>
      </c>
      <c r="E52" s="2">
        <v>181.92</v>
      </c>
      <c r="F52" s="2">
        <v>256.58999999999997</v>
      </c>
      <c r="G52" s="98">
        <v>110.01</v>
      </c>
      <c r="H52" s="98">
        <v>81.55</v>
      </c>
      <c r="I52" s="2">
        <v>204.56</v>
      </c>
      <c r="J52" s="2">
        <v>165.92</v>
      </c>
      <c r="K52" s="98">
        <v>55.07</v>
      </c>
      <c r="L52" s="98">
        <v>20.21</v>
      </c>
      <c r="M52" s="98">
        <v>18.27</v>
      </c>
      <c r="N52" s="90">
        <f t="shared" si="0"/>
        <v>1319.54</v>
      </c>
      <c r="P52" s="52">
        <v>1997</v>
      </c>
      <c r="Q52" s="2">
        <v>40.89</v>
      </c>
      <c r="R52" s="2">
        <v>43.49</v>
      </c>
      <c r="S52" s="2">
        <v>112.49</v>
      </c>
      <c r="T52" s="2">
        <v>175.43</v>
      </c>
      <c r="U52" s="2">
        <v>199.42</v>
      </c>
      <c r="V52" s="2">
        <v>197.13</v>
      </c>
      <c r="W52" s="2">
        <v>230.64</v>
      </c>
      <c r="X52" s="2">
        <v>156.99</v>
      </c>
      <c r="Y52" s="2">
        <v>136.83000000000001</v>
      </c>
      <c r="Z52" s="2">
        <v>91.76</v>
      </c>
      <c r="AA52" s="2">
        <v>37.479999999999997</v>
      </c>
      <c r="AB52" s="2">
        <v>29.31</v>
      </c>
      <c r="AC52" s="4">
        <f t="shared" si="3"/>
        <v>1451.86</v>
      </c>
    </row>
    <row r="53" spans="1:29" x14ac:dyDescent="0.25">
      <c r="A53" s="52">
        <v>1998</v>
      </c>
      <c r="B53" s="98">
        <v>38.85</v>
      </c>
      <c r="C53" s="2">
        <v>64.55</v>
      </c>
      <c r="D53" s="2">
        <v>108.84</v>
      </c>
      <c r="E53" s="2">
        <v>138.07</v>
      </c>
      <c r="F53" s="98">
        <v>136.97999999999999</v>
      </c>
      <c r="G53" s="2">
        <v>143.24</v>
      </c>
      <c r="H53" s="98">
        <v>186.48</v>
      </c>
      <c r="I53" s="98" t="s">
        <v>13</v>
      </c>
      <c r="J53" s="2">
        <v>130.38</v>
      </c>
      <c r="K53" s="2">
        <v>82.29</v>
      </c>
      <c r="L53" s="98">
        <v>50.32</v>
      </c>
      <c r="M53" s="2">
        <v>32.409999999999997</v>
      </c>
      <c r="N53" s="90">
        <f t="shared" si="0"/>
        <v>1112.4100000000001</v>
      </c>
      <c r="P53" s="52">
        <v>1998</v>
      </c>
      <c r="Q53" s="2">
        <v>38.64</v>
      </c>
      <c r="R53" s="2">
        <v>68.709999999999994</v>
      </c>
      <c r="S53" s="2">
        <v>159.68</v>
      </c>
      <c r="T53" s="2">
        <v>150.84</v>
      </c>
      <c r="U53" s="2">
        <v>221.59</v>
      </c>
      <c r="V53" s="2">
        <v>235.51</v>
      </c>
      <c r="W53" s="2">
        <v>175.72</v>
      </c>
      <c r="X53" s="2">
        <v>196.64</v>
      </c>
      <c r="Y53" s="2">
        <v>121.81</v>
      </c>
      <c r="Z53" s="2">
        <v>80.25</v>
      </c>
      <c r="AA53" s="2">
        <v>50.85</v>
      </c>
      <c r="AB53" s="2">
        <v>34.299999999999997</v>
      </c>
      <c r="AC53" s="4">
        <f t="shared" si="3"/>
        <v>1534.5399999999997</v>
      </c>
    </row>
    <row r="54" spans="1:29" x14ac:dyDescent="0.25">
      <c r="A54" s="52">
        <v>1999</v>
      </c>
      <c r="B54" s="2">
        <v>35.65</v>
      </c>
      <c r="C54" s="2">
        <v>66.75</v>
      </c>
      <c r="D54" s="98">
        <v>113.05</v>
      </c>
      <c r="E54" s="2">
        <v>107.03</v>
      </c>
      <c r="F54" s="2">
        <v>155.11000000000001</v>
      </c>
      <c r="G54" s="98">
        <v>179.07</v>
      </c>
      <c r="H54" s="98">
        <v>245.11</v>
      </c>
      <c r="I54" s="98">
        <v>174.98</v>
      </c>
      <c r="J54" s="2">
        <v>93.91</v>
      </c>
      <c r="K54" s="2">
        <v>81.5</v>
      </c>
      <c r="L54" s="2">
        <v>44.04</v>
      </c>
      <c r="M54" s="98">
        <v>23.24</v>
      </c>
      <c r="N54" s="90">
        <f t="shared" si="0"/>
        <v>1319.44</v>
      </c>
      <c r="P54" s="52">
        <v>1999</v>
      </c>
      <c r="Q54" s="2">
        <v>41.08</v>
      </c>
      <c r="R54" s="2">
        <v>85.95</v>
      </c>
      <c r="S54" s="2">
        <v>123.46</v>
      </c>
      <c r="T54" s="2">
        <v>169.65</v>
      </c>
      <c r="U54" s="2">
        <v>209.76</v>
      </c>
      <c r="V54" s="2">
        <v>220.75</v>
      </c>
      <c r="W54" s="2">
        <v>216.7</v>
      </c>
      <c r="X54" s="2">
        <v>193.47</v>
      </c>
      <c r="Y54" s="2">
        <v>127.27</v>
      </c>
      <c r="Z54" s="2">
        <v>80.86</v>
      </c>
      <c r="AA54" s="2">
        <v>51.95</v>
      </c>
      <c r="AB54" s="2">
        <v>35.86</v>
      </c>
      <c r="AC54" s="4">
        <f t="shared" si="3"/>
        <v>1556.7599999999998</v>
      </c>
    </row>
    <row r="55" spans="1:29" x14ac:dyDescent="0.25">
      <c r="A55" s="52">
        <v>2000</v>
      </c>
      <c r="B55" s="98">
        <v>17.579999999999998</v>
      </c>
      <c r="C55" s="98">
        <v>41.96</v>
      </c>
      <c r="D55" s="2">
        <v>114.35</v>
      </c>
      <c r="E55" s="2">
        <v>194.9</v>
      </c>
      <c r="F55" s="98">
        <v>224.3</v>
      </c>
      <c r="G55" s="98">
        <v>271.20999999999998</v>
      </c>
      <c r="H55" s="2">
        <v>247.26</v>
      </c>
      <c r="I55" s="2">
        <v>212.56</v>
      </c>
      <c r="J55" s="98">
        <v>98.71</v>
      </c>
      <c r="K55" s="2">
        <v>93.26</v>
      </c>
      <c r="L55" s="2">
        <v>36.090000000000003</v>
      </c>
      <c r="M55" s="2">
        <v>22.33</v>
      </c>
      <c r="N55" s="90">
        <f t="shared" si="0"/>
        <v>1574.5099999999998</v>
      </c>
      <c r="P55" s="52">
        <v>2000</v>
      </c>
      <c r="Q55" s="2">
        <v>43.43</v>
      </c>
      <c r="R55" s="2">
        <v>76.290000000000006</v>
      </c>
      <c r="S55" s="2">
        <v>127.41</v>
      </c>
      <c r="T55" s="2">
        <v>179.38</v>
      </c>
      <c r="U55" s="2">
        <v>237.21</v>
      </c>
      <c r="V55" s="2">
        <v>245.64</v>
      </c>
      <c r="W55" s="2">
        <v>257.2</v>
      </c>
      <c r="X55" s="2">
        <v>204.78</v>
      </c>
      <c r="Y55" s="2">
        <v>120.5</v>
      </c>
      <c r="Z55" s="2">
        <v>88.96</v>
      </c>
      <c r="AA55" s="2">
        <v>39.700000000000003</v>
      </c>
      <c r="AB55" s="2">
        <v>23.472000000000001</v>
      </c>
      <c r="AC55" s="4">
        <f t="shared" si="3"/>
        <v>1643.972</v>
      </c>
    </row>
    <row r="56" spans="1:29" x14ac:dyDescent="0.25">
      <c r="A56" s="52">
        <v>2001</v>
      </c>
      <c r="B56" s="2">
        <v>36.380000000000003</v>
      </c>
      <c r="C56" s="2">
        <v>76.31</v>
      </c>
      <c r="D56" s="2">
        <v>141.19999999999999</v>
      </c>
      <c r="E56" s="2">
        <v>179.71</v>
      </c>
      <c r="F56" s="2">
        <v>253.5</v>
      </c>
      <c r="G56" s="2">
        <v>274.55</v>
      </c>
      <c r="H56" s="2">
        <v>314.75</v>
      </c>
      <c r="I56" s="2">
        <v>263.31</v>
      </c>
      <c r="J56" s="98">
        <v>126.18</v>
      </c>
      <c r="K56" s="2">
        <v>115.42</v>
      </c>
      <c r="L56" s="2">
        <v>62.72</v>
      </c>
      <c r="M56" s="98">
        <v>36.840000000000003</v>
      </c>
      <c r="N56" s="90">
        <f t="shared" si="0"/>
        <v>1880.8700000000001</v>
      </c>
      <c r="P56" s="52">
        <v>2001</v>
      </c>
      <c r="Q56" s="2">
        <v>34.229999999999997</v>
      </c>
      <c r="R56" s="2">
        <v>74.239999999999995</v>
      </c>
      <c r="S56" s="2">
        <v>141.26</v>
      </c>
      <c r="T56" s="2">
        <v>181.73</v>
      </c>
      <c r="U56" s="2">
        <v>221.09</v>
      </c>
      <c r="V56" s="2">
        <v>249.38</v>
      </c>
      <c r="W56" s="2">
        <v>240.49</v>
      </c>
      <c r="X56" s="2">
        <v>192.82</v>
      </c>
      <c r="Y56" s="2">
        <v>142.07</v>
      </c>
      <c r="Z56" s="2">
        <v>79.709999999999994</v>
      </c>
      <c r="AA56" s="2">
        <v>42.36</v>
      </c>
      <c r="AB56" s="2">
        <v>35.25</v>
      </c>
      <c r="AC56" s="4">
        <f t="shared" si="3"/>
        <v>1634.6299999999999</v>
      </c>
    </row>
    <row r="57" spans="1:29" x14ac:dyDescent="0.25">
      <c r="A57" s="52">
        <v>2002</v>
      </c>
      <c r="B57" s="2">
        <v>42.8</v>
      </c>
      <c r="C57" s="2">
        <v>85.32</v>
      </c>
      <c r="D57" s="2">
        <v>131.82</v>
      </c>
      <c r="E57" s="98">
        <v>166.4</v>
      </c>
      <c r="F57" s="98">
        <v>189.35</v>
      </c>
      <c r="G57" s="2">
        <v>214.52</v>
      </c>
      <c r="H57" s="2">
        <v>299.88</v>
      </c>
      <c r="I57" s="2">
        <v>272.2</v>
      </c>
      <c r="J57" s="2">
        <v>198.88</v>
      </c>
      <c r="K57" s="2">
        <v>87.57</v>
      </c>
      <c r="L57" s="98">
        <v>33.42</v>
      </c>
      <c r="M57" s="2">
        <v>36.950000000000003</v>
      </c>
      <c r="N57" s="90">
        <f t="shared" si="0"/>
        <v>1759.1100000000001</v>
      </c>
      <c r="P57" s="52">
        <v>2002</v>
      </c>
      <c r="Q57" s="2">
        <v>37.76</v>
      </c>
      <c r="R57" s="2">
        <v>76.959999999999994</v>
      </c>
      <c r="S57" s="2">
        <v>142.69999999999999</v>
      </c>
      <c r="T57" s="2">
        <v>228.84</v>
      </c>
      <c r="U57" s="2">
        <v>251.92</v>
      </c>
      <c r="V57" s="2">
        <v>289.08999999999997</v>
      </c>
      <c r="W57" s="2">
        <v>297.18</v>
      </c>
      <c r="X57" s="2">
        <v>242</v>
      </c>
      <c r="Y57" s="2">
        <v>175.25</v>
      </c>
      <c r="Z57" s="2">
        <v>78.650000000000006</v>
      </c>
      <c r="AA57" s="2">
        <v>46.89</v>
      </c>
      <c r="AB57" s="2">
        <v>40.98</v>
      </c>
      <c r="AC57" s="4">
        <f t="shared" si="3"/>
        <v>1908.2200000000003</v>
      </c>
    </row>
    <row r="58" spans="1:29" x14ac:dyDescent="0.25">
      <c r="A58" s="52">
        <v>2003</v>
      </c>
      <c r="B58" s="97" t="s">
        <v>13</v>
      </c>
      <c r="C58" s="97" t="s">
        <v>13</v>
      </c>
      <c r="D58" s="97" t="s">
        <v>13</v>
      </c>
      <c r="E58" s="97" t="s">
        <v>13</v>
      </c>
      <c r="F58" s="97" t="s">
        <v>13</v>
      </c>
      <c r="G58" s="97" t="s">
        <v>13</v>
      </c>
      <c r="H58" s="97" t="s">
        <v>13</v>
      </c>
      <c r="I58" s="97" t="s">
        <v>13</v>
      </c>
      <c r="J58" s="97" t="s">
        <v>13</v>
      </c>
      <c r="K58" s="97" t="s">
        <v>13</v>
      </c>
      <c r="L58" s="97" t="s">
        <v>13</v>
      </c>
      <c r="M58" s="97" t="s">
        <v>13</v>
      </c>
      <c r="N58" s="97" t="s">
        <v>13</v>
      </c>
      <c r="P58" s="52">
        <v>2003</v>
      </c>
      <c r="Q58" s="8">
        <v>42.76</v>
      </c>
      <c r="R58" s="8">
        <v>91.9452</v>
      </c>
      <c r="S58" s="8">
        <v>153.56180000000001</v>
      </c>
      <c r="T58" s="8">
        <v>201.8228</v>
      </c>
      <c r="U58" s="8">
        <v>275.24880000000002</v>
      </c>
      <c r="V58" s="8">
        <v>303.51600000000002</v>
      </c>
      <c r="W58" s="8">
        <v>289.87200000000001</v>
      </c>
      <c r="X58" s="97">
        <v>164.20679999999999</v>
      </c>
      <c r="Y58" s="97">
        <v>151.0856</v>
      </c>
      <c r="Z58" s="8">
        <v>105.0236</v>
      </c>
      <c r="AA58" s="8">
        <v>40.270000000000003</v>
      </c>
      <c r="AB58" s="8">
        <v>27.474</v>
      </c>
      <c r="AC58" s="90">
        <f t="shared" si="3"/>
        <v>1846.7866000000001</v>
      </c>
    </row>
    <row r="59" spans="1:29" x14ac:dyDescent="0.25">
      <c r="A59" s="52">
        <v>2004</v>
      </c>
      <c r="B59" s="97" t="s">
        <v>13</v>
      </c>
      <c r="C59" s="97" t="s">
        <v>13</v>
      </c>
      <c r="D59" s="97" t="s">
        <v>13</v>
      </c>
      <c r="E59" s="97" t="s">
        <v>13</v>
      </c>
      <c r="F59" s="97" t="s">
        <v>13</v>
      </c>
      <c r="G59" s="97" t="s">
        <v>13</v>
      </c>
      <c r="H59" s="97" t="s">
        <v>13</v>
      </c>
      <c r="I59" s="97" t="s">
        <v>13</v>
      </c>
      <c r="J59" s="97" t="s">
        <v>13</v>
      </c>
      <c r="K59" s="97" t="s">
        <v>13</v>
      </c>
      <c r="L59" s="97" t="s">
        <v>13</v>
      </c>
      <c r="M59" s="97" t="s">
        <v>13</v>
      </c>
      <c r="N59" s="97" t="s">
        <v>13</v>
      </c>
      <c r="P59" s="52">
        <v>2004</v>
      </c>
      <c r="Q59" s="8">
        <v>63.419600000000003</v>
      </c>
      <c r="R59" s="8">
        <v>82.587599999999995</v>
      </c>
      <c r="S59" s="8">
        <v>159.36840000000001</v>
      </c>
      <c r="T59" s="8">
        <v>174.66120000000001</v>
      </c>
      <c r="U59" s="8">
        <v>280.13479999999998</v>
      </c>
      <c r="V59" s="8">
        <v>288.2672</v>
      </c>
      <c r="W59" s="8">
        <v>298.77999999999997</v>
      </c>
      <c r="X59" s="8">
        <v>237.05279999999999</v>
      </c>
      <c r="Y59" s="8">
        <v>162.126</v>
      </c>
      <c r="Z59" s="8">
        <v>90.662000000000006</v>
      </c>
      <c r="AA59" s="8">
        <v>45.078400000000002</v>
      </c>
      <c r="AB59" s="8">
        <v>25.807600000000001</v>
      </c>
      <c r="AC59" s="4">
        <f t="shared" si="3"/>
        <v>1907.9456</v>
      </c>
    </row>
    <row r="60" spans="1:29" x14ac:dyDescent="0.25">
      <c r="A60" s="52">
        <v>2005</v>
      </c>
      <c r="B60" s="97" t="s">
        <v>13</v>
      </c>
      <c r="C60" s="97" t="s">
        <v>13</v>
      </c>
      <c r="D60" s="97" t="s">
        <v>13</v>
      </c>
      <c r="E60" s="97" t="s">
        <v>13</v>
      </c>
      <c r="F60" s="97" t="s">
        <v>13</v>
      </c>
      <c r="G60" s="97" t="s">
        <v>13</v>
      </c>
      <c r="H60" s="97" t="s">
        <v>13</v>
      </c>
      <c r="I60" s="97" t="s">
        <v>13</v>
      </c>
      <c r="J60" s="8">
        <v>147.80962759424301</v>
      </c>
      <c r="K60" s="8">
        <v>96.614047200000002</v>
      </c>
      <c r="L60" s="8">
        <v>42.354514520000002</v>
      </c>
      <c r="M60" s="8">
        <v>28.182949472000001</v>
      </c>
      <c r="N60" s="90">
        <f t="shared" si="0"/>
        <v>314.96113878624305</v>
      </c>
      <c r="P60" s="52">
        <v>2005</v>
      </c>
      <c r="Q60" s="8">
        <v>47.096400000000003</v>
      </c>
      <c r="R60" s="8">
        <v>94.236400000000003</v>
      </c>
      <c r="S60" s="8">
        <v>192.29079999999999</v>
      </c>
      <c r="T60" s="8">
        <v>222.5752</v>
      </c>
      <c r="U60" s="8">
        <v>238.77119999999999</v>
      </c>
      <c r="V60" s="8">
        <v>285.4144</v>
      </c>
      <c r="W60" s="8">
        <v>266.166</v>
      </c>
      <c r="X60" s="8">
        <v>208.36920000000001</v>
      </c>
      <c r="Y60" s="8">
        <v>158.00239999999999</v>
      </c>
      <c r="Z60" s="8">
        <v>98.248000000000005</v>
      </c>
      <c r="AA60" s="8">
        <v>42.0852</v>
      </c>
      <c r="AB60" s="8">
        <v>27.599599999999999</v>
      </c>
      <c r="AC60" s="4">
        <f t="shared" si="3"/>
        <v>1880.8548000000001</v>
      </c>
    </row>
    <row r="61" spans="1:29" x14ac:dyDescent="0.25">
      <c r="A61" s="52">
        <v>2006</v>
      </c>
      <c r="B61" s="8">
        <v>47.373485039999998</v>
      </c>
      <c r="C61" s="8">
        <v>88.618018039999995</v>
      </c>
      <c r="D61" s="8">
        <v>174.64852443999999</v>
      </c>
      <c r="E61" s="97">
        <v>93.386621919999996</v>
      </c>
      <c r="F61" s="97">
        <v>133.89990732000001</v>
      </c>
      <c r="G61" s="97">
        <v>160.68564115999999</v>
      </c>
      <c r="H61" s="97">
        <v>140.00267851999999</v>
      </c>
      <c r="I61" s="8">
        <v>213.30279999999999</v>
      </c>
      <c r="J61" s="8">
        <v>131.57839999999999</v>
      </c>
      <c r="K61" s="8">
        <v>107.8784</v>
      </c>
      <c r="L61" s="8">
        <v>43.966791999999998</v>
      </c>
      <c r="M61" s="8">
        <v>26.530799999999999</v>
      </c>
      <c r="N61" s="90">
        <f t="shared" si="0"/>
        <v>1361.8720684399998</v>
      </c>
      <c r="P61" s="52">
        <v>2006</v>
      </c>
      <c r="Q61" s="2">
        <v>52.97</v>
      </c>
      <c r="R61" s="2">
        <v>92.32</v>
      </c>
      <c r="S61" s="2">
        <v>189.23</v>
      </c>
      <c r="T61" s="2">
        <v>248.66</v>
      </c>
      <c r="U61" s="98">
        <v>342.69</v>
      </c>
      <c r="V61" s="2">
        <v>296.41000000000003</v>
      </c>
      <c r="W61" s="2">
        <v>263.87</v>
      </c>
      <c r="X61" s="2">
        <v>270.51</v>
      </c>
      <c r="Y61" s="2">
        <v>155.59</v>
      </c>
      <c r="Z61" s="2">
        <v>116.14</v>
      </c>
      <c r="AA61" s="2">
        <v>39.9</v>
      </c>
      <c r="AB61" s="98">
        <v>26.92</v>
      </c>
      <c r="AC61" s="90">
        <f t="shared" si="3"/>
        <v>2095.21</v>
      </c>
    </row>
    <row r="62" spans="1:29" x14ac:dyDescent="0.25">
      <c r="A62" s="52">
        <v>2007</v>
      </c>
      <c r="B62" s="8">
        <v>39.194800000000001</v>
      </c>
      <c r="C62" s="8">
        <v>79.14</v>
      </c>
      <c r="D62" s="8">
        <v>120.018</v>
      </c>
      <c r="E62" s="8">
        <v>152.31280000000001</v>
      </c>
      <c r="F62" s="97">
        <v>240.23840000000001</v>
      </c>
      <c r="G62" s="97">
        <v>209.56440000000001</v>
      </c>
      <c r="H62" s="8">
        <v>244.6208</v>
      </c>
      <c r="I62" s="8">
        <v>220.60599999999999</v>
      </c>
      <c r="J62" s="8">
        <v>143.96600000000001</v>
      </c>
      <c r="K62" s="8">
        <v>91.607200000000006</v>
      </c>
      <c r="L62" s="8">
        <v>47.165999999999997</v>
      </c>
      <c r="M62" s="8">
        <v>23.1892</v>
      </c>
      <c r="N62" s="90">
        <f t="shared" si="0"/>
        <v>1611.6235999999999</v>
      </c>
      <c r="P62" s="52">
        <v>2007</v>
      </c>
      <c r="Q62" s="8">
        <v>41.66</v>
      </c>
      <c r="R62" s="8">
        <v>94.83</v>
      </c>
      <c r="S62" s="8">
        <v>132.21</v>
      </c>
      <c r="T62" s="8">
        <v>197.33</v>
      </c>
      <c r="U62" s="8">
        <v>296.74</v>
      </c>
      <c r="V62" s="8">
        <v>312.64999999999998</v>
      </c>
      <c r="W62" s="8">
        <v>310.20999999999998</v>
      </c>
      <c r="X62" s="8">
        <v>312.89</v>
      </c>
      <c r="Y62" s="8">
        <v>187.4</v>
      </c>
      <c r="Z62" s="8">
        <v>99.05</v>
      </c>
      <c r="AA62" s="8">
        <v>41.96</v>
      </c>
      <c r="AB62" s="8">
        <v>24.46</v>
      </c>
      <c r="AC62" s="4">
        <f t="shared" si="3"/>
        <v>2051.39</v>
      </c>
    </row>
    <row r="63" spans="1:29" x14ac:dyDescent="0.25">
      <c r="A63" s="52">
        <v>2008</v>
      </c>
      <c r="B63" s="2">
        <v>38.85</v>
      </c>
      <c r="C63" s="2">
        <v>71.94</v>
      </c>
      <c r="D63" s="98">
        <v>165.85</v>
      </c>
      <c r="E63" s="2">
        <v>230.88</v>
      </c>
      <c r="F63" s="98">
        <v>319.98</v>
      </c>
      <c r="G63" s="98">
        <v>318.55</v>
      </c>
      <c r="H63" s="98">
        <v>243.72</v>
      </c>
      <c r="I63" s="2">
        <v>269.74</v>
      </c>
      <c r="J63" s="2">
        <v>188.29</v>
      </c>
      <c r="K63" s="98">
        <v>141.09</v>
      </c>
      <c r="L63" s="98">
        <v>48.76</v>
      </c>
      <c r="M63" s="2">
        <v>26.74</v>
      </c>
      <c r="N63" s="90">
        <f t="shared" si="0"/>
        <v>2064.39</v>
      </c>
      <c r="P63" s="52">
        <v>2008</v>
      </c>
      <c r="Q63" s="2">
        <v>35.76</v>
      </c>
      <c r="R63" s="2">
        <v>69.069999999999993</v>
      </c>
      <c r="S63" s="2">
        <v>163.71</v>
      </c>
      <c r="T63" s="2">
        <v>197.34</v>
      </c>
      <c r="U63" s="2">
        <v>309.56</v>
      </c>
      <c r="V63" s="2">
        <v>380.47</v>
      </c>
      <c r="W63" s="2">
        <v>360.63</v>
      </c>
      <c r="X63" s="2">
        <v>305.41000000000003</v>
      </c>
      <c r="Y63" s="2">
        <v>176.02</v>
      </c>
      <c r="Z63" s="2">
        <v>103.02</v>
      </c>
      <c r="AA63" s="2">
        <v>51.11</v>
      </c>
      <c r="AB63" s="2">
        <v>26.74</v>
      </c>
      <c r="AC63" s="4">
        <f t="shared" si="3"/>
        <v>2178.84</v>
      </c>
    </row>
    <row r="64" spans="1:29" x14ac:dyDescent="0.25">
      <c r="A64" s="52">
        <v>2009</v>
      </c>
      <c r="B64" s="2">
        <v>41.51</v>
      </c>
      <c r="C64" s="2">
        <v>86.75</v>
      </c>
      <c r="D64" s="2">
        <v>158.49</v>
      </c>
      <c r="E64" s="2">
        <v>187.86</v>
      </c>
      <c r="F64" s="2">
        <v>326.06</v>
      </c>
      <c r="G64" s="8">
        <v>376.86</v>
      </c>
      <c r="H64" s="2">
        <v>356.9</v>
      </c>
      <c r="I64" s="2">
        <v>286.26</v>
      </c>
      <c r="J64" s="2">
        <v>175.79</v>
      </c>
      <c r="K64" s="98">
        <v>70.14</v>
      </c>
      <c r="L64" s="2">
        <v>39.17</v>
      </c>
      <c r="M64" s="2">
        <v>31.15</v>
      </c>
      <c r="N64" s="90">
        <f t="shared" si="0"/>
        <v>2136.9400000000005</v>
      </c>
      <c r="P64" s="52">
        <v>2009</v>
      </c>
      <c r="Q64" s="2">
        <v>45.97</v>
      </c>
      <c r="R64" s="2">
        <v>92.42</v>
      </c>
      <c r="S64" s="2">
        <v>167.64</v>
      </c>
      <c r="T64" s="2">
        <v>183.18</v>
      </c>
      <c r="U64" s="2">
        <v>265.89</v>
      </c>
      <c r="V64" s="8">
        <v>312</v>
      </c>
      <c r="W64" s="2">
        <v>393.47</v>
      </c>
      <c r="X64" s="2">
        <v>269.60000000000002</v>
      </c>
      <c r="Y64" s="2">
        <v>163.33000000000001</v>
      </c>
      <c r="Z64" s="2">
        <v>81.260000000000005</v>
      </c>
      <c r="AA64" s="2">
        <v>38.74</v>
      </c>
      <c r="AB64" s="2">
        <v>30.06</v>
      </c>
      <c r="AC64" s="4">
        <f t="shared" si="3"/>
        <v>2043.56</v>
      </c>
    </row>
    <row r="65" spans="1:29" x14ac:dyDescent="0.25">
      <c r="A65" s="52">
        <v>2010</v>
      </c>
      <c r="B65" s="2">
        <v>56.58</v>
      </c>
      <c r="C65" s="2">
        <v>99.7</v>
      </c>
      <c r="D65" s="2">
        <v>171.4</v>
      </c>
      <c r="E65" s="2">
        <v>223.95</v>
      </c>
      <c r="F65" s="2">
        <v>327.22000000000003</v>
      </c>
      <c r="G65" s="2">
        <v>281.39</v>
      </c>
      <c r="H65" s="2">
        <v>288.52</v>
      </c>
      <c r="I65" s="2">
        <v>294.51</v>
      </c>
      <c r="J65" s="2">
        <v>155.46</v>
      </c>
      <c r="K65" s="98">
        <v>92.17</v>
      </c>
      <c r="L65" s="98">
        <v>39.85</v>
      </c>
      <c r="M65" s="98">
        <v>30.26</v>
      </c>
      <c r="N65" s="90">
        <f t="shared" si="0"/>
        <v>2061.0100000000002</v>
      </c>
      <c r="P65" s="52">
        <v>2010</v>
      </c>
      <c r="Q65" s="2">
        <v>55.98</v>
      </c>
      <c r="R65" s="2">
        <v>99.22</v>
      </c>
      <c r="S65" s="2">
        <v>174.81</v>
      </c>
      <c r="T65" s="2">
        <v>241.87</v>
      </c>
      <c r="U65" s="2">
        <v>320.26</v>
      </c>
      <c r="V65" s="2">
        <v>295.11</v>
      </c>
      <c r="W65" s="2">
        <v>324.22000000000003</v>
      </c>
      <c r="X65" s="2">
        <v>295.81</v>
      </c>
      <c r="Y65" s="2">
        <v>170.46</v>
      </c>
      <c r="Z65" s="2">
        <v>86.21</v>
      </c>
      <c r="AA65" s="2">
        <v>40.659999999999997</v>
      </c>
      <c r="AB65" s="2">
        <v>38.78</v>
      </c>
      <c r="AC65" s="4">
        <f t="shared" si="3"/>
        <v>2143.39</v>
      </c>
    </row>
    <row r="66" spans="1:29" x14ac:dyDescent="0.25">
      <c r="A66" s="52">
        <v>2011</v>
      </c>
      <c r="B66" s="144">
        <v>39.79</v>
      </c>
      <c r="C66" s="4">
        <v>74.790000000000006</v>
      </c>
      <c r="D66" s="4">
        <v>157.05000000000001</v>
      </c>
      <c r="E66" s="4">
        <v>196.88</v>
      </c>
      <c r="F66" s="4">
        <v>314.44</v>
      </c>
      <c r="G66" s="4">
        <v>324.19</v>
      </c>
      <c r="H66" s="4">
        <v>322.76</v>
      </c>
      <c r="I66" s="4">
        <v>258.27</v>
      </c>
      <c r="J66" s="4">
        <v>168.96</v>
      </c>
      <c r="K66" s="4">
        <v>99.75</v>
      </c>
      <c r="L66" s="4">
        <v>46.24</v>
      </c>
      <c r="M66" s="4">
        <v>32.15</v>
      </c>
      <c r="N66" s="90">
        <f t="shared" si="0"/>
        <v>2035.2700000000002</v>
      </c>
      <c r="P66" s="52">
        <v>2011</v>
      </c>
      <c r="Q66" s="4">
        <v>52.9</v>
      </c>
      <c r="R66" s="4">
        <v>85.61</v>
      </c>
      <c r="S66" s="4">
        <v>153.03</v>
      </c>
      <c r="T66" s="4">
        <v>246.52</v>
      </c>
      <c r="U66" s="4">
        <v>308.62</v>
      </c>
      <c r="V66" s="4">
        <v>345.18</v>
      </c>
      <c r="W66" s="4">
        <v>350.37</v>
      </c>
      <c r="X66" s="4">
        <v>272.33999999999997</v>
      </c>
      <c r="Y66" s="90">
        <v>175.66</v>
      </c>
      <c r="Z66" s="4">
        <v>113.33</v>
      </c>
      <c r="AA66" s="4">
        <v>40.549999999999997</v>
      </c>
      <c r="AB66" s="4">
        <v>32.479999999999997</v>
      </c>
      <c r="AC66" s="4">
        <f t="shared" si="3"/>
        <v>2176.59</v>
      </c>
    </row>
    <row r="67" spans="1:29" x14ac:dyDescent="0.25">
      <c r="A67" s="52">
        <v>2012</v>
      </c>
      <c r="B67" s="2">
        <v>46.2</v>
      </c>
      <c r="C67" s="2">
        <v>86.83</v>
      </c>
      <c r="D67" s="2">
        <v>154.09</v>
      </c>
      <c r="E67" s="2">
        <v>227.17</v>
      </c>
      <c r="F67" s="2">
        <v>285.64</v>
      </c>
      <c r="G67" s="2">
        <v>382.15</v>
      </c>
      <c r="H67" s="2">
        <v>350.45</v>
      </c>
      <c r="I67" s="98">
        <v>274.62</v>
      </c>
      <c r="J67" s="98" t="s">
        <v>13</v>
      </c>
      <c r="K67" s="98">
        <v>84.46</v>
      </c>
      <c r="L67" s="2">
        <v>43.59</v>
      </c>
      <c r="M67" s="2">
        <v>39.340000000000003</v>
      </c>
      <c r="N67" s="90">
        <f t="shared" si="0"/>
        <v>1974.54</v>
      </c>
      <c r="P67" s="52">
        <v>2012</v>
      </c>
      <c r="Q67" s="2">
        <v>48.42</v>
      </c>
      <c r="R67" s="2">
        <v>106.42</v>
      </c>
      <c r="S67" s="2">
        <v>181.03</v>
      </c>
      <c r="T67" s="2">
        <v>217.81</v>
      </c>
      <c r="U67" s="2">
        <v>267.32</v>
      </c>
      <c r="V67" s="2">
        <v>347.71</v>
      </c>
      <c r="W67" s="2">
        <v>332.78</v>
      </c>
      <c r="X67" s="2">
        <v>299.95999999999998</v>
      </c>
      <c r="Y67" s="2">
        <v>194.25</v>
      </c>
      <c r="Z67" s="2">
        <v>104.09</v>
      </c>
      <c r="AA67" s="2">
        <v>41.17</v>
      </c>
      <c r="AB67" s="2">
        <v>40.340000000000003</v>
      </c>
      <c r="AC67" s="4">
        <f t="shared" si="3"/>
        <v>2181.3000000000002</v>
      </c>
    </row>
    <row r="68" spans="1:29" x14ac:dyDescent="0.25">
      <c r="A68" s="52">
        <v>2013</v>
      </c>
      <c r="B68" s="8">
        <v>50.72</v>
      </c>
      <c r="C68" s="8">
        <v>94.37</v>
      </c>
      <c r="D68" s="8">
        <v>154.57</v>
      </c>
      <c r="E68" s="8">
        <v>255.07</v>
      </c>
      <c r="F68" s="97">
        <v>221.36</v>
      </c>
      <c r="G68" s="97">
        <v>208.31</v>
      </c>
      <c r="H68" s="97" t="s">
        <v>13</v>
      </c>
      <c r="I68" s="97">
        <v>256.19</v>
      </c>
      <c r="J68" s="97">
        <v>52.25</v>
      </c>
      <c r="K68" s="97" t="s">
        <v>13</v>
      </c>
      <c r="L68" s="97" t="s">
        <v>13</v>
      </c>
      <c r="M68" s="97">
        <v>17.64</v>
      </c>
      <c r="N68" s="90">
        <f t="shared" si="0"/>
        <v>1310.4800000000002</v>
      </c>
      <c r="P68" s="52">
        <v>2013</v>
      </c>
      <c r="Q68" s="97">
        <v>48.3</v>
      </c>
      <c r="R68" s="8">
        <v>102.34</v>
      </c>
      <c r="S68" s="8">
        <v>180.64</v>
      </c>
      <c r="T68" s="8">
        <v>240.88</v>
      </c>
      <c r="U68" s="8">
        <v>308.97000000000003</v>
      </c>
      <c r="V68" s="8">
        <v>375.21</v>
      </c>
      <c r="W68" s="8">
        <v>373.73</v>
      </c>
      <c r="X68" s="8">
        <v>271.33</v>
      </c>
      <c r="Y68" s="8">
        <v>154.85</v>
      </c>
      <c r="Z68" s="8">
        <v>105.22</v>
      </c>
      <c r="AA68" s="8">
        <v>45.44</v>
      </c>
      <c r="AB68" s="8">
        <v>33.950000000000003</v>
      </c>
      <c r="AC68" s="90">
        <f t="shared" si="3"/>
        <v>2240.8599999999997</v>
      </c>
    </row>
    <row r="69" spans="1:29" x14ac:dyDescent="0.25">
      <c r="A69" s="52">
        <v>2014</v>
      </c>
      <c r="B69" s="2">
        <v>43.55</v>
      </c>
      <c r="C69" s="2">
        <v>77.22</v>
      </c>
      <c r="D69" s="2">
        <v>143.87</v>
      </c>
      <c r="E69" s="98">
        <v>278.18</v>
      </c>
      <c r="F69" s="8">
        <v>340.26</v>
      </c>
      <c r="G69" s="2">
        <v>288.60000000000002</v>
      </c>
      <c r="H69" s="2">
        <v>251.99</v>
      </c>
      <c r="I69" s="2">
        <v>257.05</v>
      </c>
      <c r="J69" s="2">
        <v>162.71</v>
      </c>
      <c r="K69" s="2">
        <v>101.06</v>
      </c>
      <c r="L69" s="98">
        <v>47.79</v>
      </c>
      <c r="M69" s="2">
        <v>33.5</v>
      </c>
      <c r="N69" s="90">
        <f t="shared" si="0"/>
        <v>2025.7799999999997</v>
      </c>
      <c r="P69" s="52">
        <v>2014</v>
      </c>
      <c r="Q69" s="2">
        <v>45.74</v>
      </c>
      <c r="R69" s="2">
        <v>75.73</v>
      </c>
      <c r="S69" s="2">
        <v>160.63</v>
      </c>
      <c r="T69" s="2">
        <v>212.98</v>
      </c>
      <c r="U69" s="8">
        <v>299</v>
      </c>
      <c r="V69" s="2">
        <v>346.53</v>
      </c>
      <c r="W69" s="2">
        <v>289.23</v>
      </c>
      <c r="X69" s="2">
        <v>328.44</v>
      </c>
      <c r="Y69" s="2">
        <v>181.62</v>
      </c>
      <c r="Z69" s="2">
        <v>103.51</v>
      </c>
      <c r="AA69" s="2">
        <v>43.1</v>
      </c>
      <c r="AB69" s="2">
        <v>33.57</v>
      </c>
      <c r="AC69" s="4">
        <f t="shared" si="3"/>
        <v>2120.0800000000004</v>
      </c>
    </row>
    <row r="70" spans="1:29" x14ac:dyDescent="0.25">
      <c r="A70" s="52">
        <v>2015</v>
      </c>
      <c r="B70" s="8">
        <v>41.43</v>
      </c>
      <c r="C70" s="8">
        <v>76.2</v>
      </c>
      <c r="D70" s="8">
        <v>167.06</v>
      </c>
      <c r="E70" s="8">
        <v>259.77</v>
      </c>
      <c r="F70" s="97">
        <v>283.27999999999997</v>
      </c>
      <c r="G70" s="8">
        <v>274.12</v>
      </c>
      <c r="H70" s="8">
        <v>287.49</v>
      </c>
      <c r="I70" s="97">
        <v>93.08</v>
      </c>
      <c r="J70" s="8">
        <v>175.42</v>
      </c>
      <c r="K70" s="8">
        <v>94.18</v>
      </c>
      <c r="L70" s="8">
        <v>47.34</v>
      </c>
      <c r="M70" s="8">
        <v>29.42</v>
      </c>
      <c r="N70" s="90">
        <f t="shared" si="0"/>
        <v>1828.7900000000002</v>
      </c>
      <c r="P70" s="52">
        <v>2015</v>
      </c>
      <c r="Q70" s="8">
        <v>51.06</v>
      </c>
      <c r="R70" s="8">
        <v>75.459999999999994</v>
      </c>
      <c r="S70" s="8">
        <v>147.55000000000001</v>
      </c>
      <c r="T70" s="8">
        <v>217.66</v>
      </c>
      <c r="U70" s="8">
        <v>272.73</v>
      </c>
      <c r="V70" s="8">
        <v>296.35000000000002</v>
      </c>
      <c r="W70" s="8">
        <v>294.5</v>
      </c>
      <c r="X70" s="8">
        <v>166.62</v>
      </c>
      <c r="Y70" s="8">
        <v>151.75</v>
      </c>
      <c r="Z70" s="8">
        <v>78.19</v>
      </c>
      <c r="AA70" s="8">
        <v>46.56</v>
      </c>
      <c r="AB70" s="8">
        <v>28.23</v>
      </c>
      <c r="AC70" s="4">
        <f t="shared" si="3"/>
        <v>1826.6599999999999</v>
      </c>
    </row>
    <row r="71" spans="1:29" x14ac:dyDescent="0.25">
      <c r="A71" s="52">
        <v>2016</v>
      </c>
      <c r="B71" s="8">
        <v>42.59</v>
      </c>
      <c r="C71" s="8">
        <v>74.42</v>
      </c>
      <c r="D71" s="8">
        <v>168.19</v>
      </c>
      <c r="E71" s="97">
        <v>212.37</v>
      </c>
      <c r="F71" s="97">
        <v>203.28</v>
      </c>
      <c r="G71" s="97">
        <v>220.83</v>
      </c>
      <c r="H71" s="8">
        <v>313.94</v>
      </c>
      <c r="I71" s="8">
        <v>234.01</v>
      </c>
      <c r="J71" s="8">
        <v>150.34</v>
      </c>
      <c r="K71" s="8">
        <v>89.18</v>
      </c>
      <c r="L71" s="8">
        <v>53.82</v>
      </c>
      <c r="M71" s="8">
        <v>28.34</v>
      </c>
      <c r="N71" s="90">
        <f t="shared" si="0"/>
        <v>1791.31</v>
      </c>
      <c r="P71" s="52">
        <v>2016</v>
      </c>
      <c r="Q71" s="8">
        <v>49.44</v>
      </c>
      <c r="R71" s="8">
        <v>72</v>
      </c>
      <c r="S71" s="8">
        <v>147.29</v>
      </c>
      <c r="T71" s="8">
        <v>213.3</v>
      </c>
      <c r="U71" s="8">
        <v>269.66000000000003</v>
      </c>
      <c r="V71" s="8">
        <v>295.63</v>
      </c>
      <c r="W71" s="8">
        <v>300.45999999999998</v>
      </c>
      <c r="X71" s="8">
        <v>243.1</v>
      </c>
      <c r="Y71" s="8">
        <v>165.73</v>
      </c>
      <c r="Z71" s="8">
        <v>77.97</v>
      </c>
      <c r="AA71" s="8">
        <v>49.35</v>
      </c>
      <c r="AB71" s="8">
        <v>30.56</v>
      </c>
      <c r="AC71" s="4">
        <f t="shared" si="3"/>
        <v>1914.49</v>
      </c>
    </row>
    <row r="72" spans="1:29" x14ac:dyDescent="0.25">
      <c r="A72" s="52">
        <v>2017</v>
      </c>
      <c r="B72" s="8">
        <v>43.56</v>
      </c>
      <c r="C72" s="8">
        <v>70.91</v>
      </c>
      <c r="D72" s="8">
        <v>142.16</v>
      </c>
      <c r="E72" s="8">
        <v>226.23</v>
      </c>
      <c r="F72" s="8">
        <v>308.95999999999998</v>
      </c>
      <c r="G72" s="8">
        <v>277.27999999999997</v>
      </c>
      <c r="H72" s="8">
        <v>294.89</v>
      </c>
      <c r="I72" s="8">
        <v>242.48</v>
      </c>
      <c r="J72" s="8">
        <v>154.72</v>
      </c>
      <c r="K72" s="8">
        <v>89.74</v>
      </c>
      <c r="L72" s="8">
        <v>48.01</v>
      </c>
      <c r="M72" s="8">
        <v>26.49</v>
      </c>
      <c r="N72" s="4">
        <f t="shared" si="0"/>
        <v>1925.4299999999998</v>
      </c>
      <c r="P72" s="52">
        <v>2017</v>
      </c>
      <c r="Q72" s="8">
        <v>48.43</v>
      </c>
      <c r="R72" s="8">
        <v>79.09</v>
      </c>
      <c r="S72" s="8">
        <v>154.66</v>
      </c>
      <c r="T72" s="8">
        <v>222.39</v>
      </c>
      <c r="U72" s="8">
        <v>228.52</v>
      </c>
      <c r="V72" s="8">
        <v>263.01</v>
      </c>
      <c r="W72" s="8">
        <v>263.86</v>
      </c>
      <c r="X72" s="8">
        <v>231.43</v>
      </c>
      <c r="Y72" s="97">
        <v>132.6</v>
      </c>
      <c r="Z72" s="8">
        <v>88.12</v>
      </c>
      <c r="AA72" s="8">
        <v>44.04</v>
      </c>
      <c r="AB72" s="8">
        <v>29.07</v>
      </c>
      <c r="AC72" s="90">
        <f t="shared" si="3"/>
        <v>1785.22</v>
      </c>
    </row>
    <row r="73" spans="1:29" x14ac:dyDescent="0.25">
      <c r="A73" s="52">
        <v>2018</v>
      </c>
      <c r="B73" s="8">
        <v>39.74</v>
      </c>
      <c r="C73" s="8">
        <v>100.59</v>
      </c>
      <c r="D73" s="8">
        <v>239.91</v>
      </c>
      <c r="E73" s="97">
        <v>261.64</v>
      </c>
      <c r="F73" s="97" t="s">
        <v>13</v>
      </c>
      <c r="G73" s="8">
        <v>278.42</v>
      </c>
      <c r="H73" s="97" t="s">
        <v>13</v>
      </c>
      <c r="I73" s="97" t="s">
        <v>13</v>
      </c>
      <c r="J73" s="97" t="s">
        <v>13</v>
      </c>
      <c r="K73" s="97" t="s">
        <v>13</v>
      </c>
      <c r="L73" s="8">
        <v>67.69</v>
      </c>
      <c r="M73" s="8">
        <v>44.74</v>
      </c>
      <c r="N73" s="90">
        <f t="shared" si="0"/>
        <v>1032.73</v>
      </c>
      <c r="P73" s="52">
        <v>2018</v>
      </c>
      <c r="Q73" s="8">
        <v>40.659999999999997</v>
      </c>
      <c r="R73" s="97">
        <v>81.2</v>
      </c>
      <c r="S73" s="97">
        <v>108.87</v>
      </c>
      <c r="T73" s="97" t="s">
        <v>13</v>
      </c>
      <c r="U73" s="97" t="s">
        <v>13</v>
      </c>
      <c r="V73" s="97" t="s">
        <v>13</v>
      </c>
      <c r="W73" s="97" t="s">
        <v>13</v>
      </c>
      <c r="X73" s="8">
        <v>294.33999999999997</v>
      </c>
      <c r="Y73" s="8">
        <v>252.42</v>
      </c>
      <c r="Z73" s="8">
        <v>105.24</v>
      </c>
      <c r="AA73" s="8">
        <v>42.42</v>
      </c>
      <c r="AB73" s="8">
        <v>32.85</v>
      </c>
      <c r="AC73" s="90">
        <f t="shared" si="3"/>
        <v>957.99999999999989</v>
      </c>
    </row>
    <row r="74" spans="1:29" x14ac:dyDescent="0.25">
      <c r="A74" s="52">
        <v>2019</v>
      </c>
      <c r="B74" s="8">
        <v>63.78</v>
      </c>
      <c r="C74" s="8">
        <v>93.92</v>
      </c>
      <c r="D74" s="8">
        <v>188.66</v>
      </c>
      <c r="E74" s="8">
        <v>212.08</v>
      </c>
      <c r="F74" s="8">
        <v>346.11</v>
      </c>
      <c r="G74" s="8">
        <v>328.47</v>
      </c>
      <c r="H74" s="8">
        <v>400.26</v>
      </c>
      <c r="I74" s="8">
        <v>306.29000000000002</v>
      </c>
      <c r="J74" s="8">
        <v>196.33</v>
      </c>
      <c r="K74" s="8">
        <v>125.35</v>
      </c>
      <c r="L74" s="97">
        <v>13.85</v>
      </c>
      <c r="M74" s="97" t="s">
        <v>13</v>
      </c>
      <c r="N74" s="90">
        <f t="shared" si="0"/>
        <v>2275.1</v>
      </c>
      <c r="P74" s="52">
        <v>2019</v>
      </c>
      <c r="Q74" s="8">
        <v>65.319999999999993</v>
      </c>
      <c r="R74" s="8">
        <v>92.98</v>
      </c>
      <c r="S74" s="8">
        <v>223.6</v>
      </c>
      <c r="T74" s="97">
        <v>106.73</v>
      </c>
      <c r="U74" s="97" t="s">
        <v>13</v>
      </c>
      <c r="V74" s="97" t="s">
        <v>13</v>
      </c>
      <c r="W74" s="97" t="s">
        <v>13</v>
      </c>
      <c r="X74" s="97" t="s">
        <v>13</v>
      </c>
      <c r="Y74" s="97" t="s">
        <v>13</v>
      </c>
      <c r="Z74" s="8">
        <v>133.78</v>
      </c>
      <c r="AA74" s="8">
        <v>67.23</v>
      </c>
      <c r="AB74" s="97" t="s">
        <v>13</v>
      </c>
      <c r="AC74" s="90">
        <f t="shared" si="3"/>
        <v>689.64</v>
      </c>
    </row>
    <row r="75" spans="1:29" x14ac:dyDescent="0.25">
      <c r="A75" s="52">
        <v>2020</v>
      </c>
      <c r="B75" s="98" t="s">
        <v>13</v>
      </c>
      <c r="C75" s="2">
        <v>86.47</v>
      </c>
      <c r="D75" s="2">
        <v>197.84</v>
      </c>
      <c r="E75" s="98">
        <v>155.22999999999999</v>
      </c>
      <c r="F75" s="2">
        <v>264.64999999999998</v>
      </c>
      <c r="G75" s="2">
        <v>286.92</v>
      </c>
      <c r="H75" s="2">
        <v>294.41000000000003</v>
      </c>
      <c r="I75" s="2">
        <v>255.89</v>
      </c>
      <c r="J75" s="2">
        <v>169.34</v>
      </c>
      <c r="K75" s="2">
        <v>107.3</v>
      </c>
      <c r="L75" s="98">
        <v>33.33</v>
      </c>
      <c r="M75" s="98" t="s">
        <v>13</v>
      </c>
      <c r="N75" s="90">
        <f t="shared" si="0"/>
        <v>1851.3799999999997</v>
      </c>
      <c r="P75" s="52">
        <v>2020</v>
      </c>
      <c r="Q75" s="98" t="s">
        <v>13</v>
      </c>
      <c r="R75" s="2">
        <v>84.64</v>
      </c>
      <c r="S75" s="98">
        <v>88.83</v>
      </c>
      <c r="T75" s="2">
        <v>213.66</v>
      </c>
      <c r="U75" s="2">
        <v>271.41000000000003</v>
      </c>
      <c r="V75" s="2">
        <v>287.60000000000002</v>
      </c>
      <c r="W75" s="2">
        <v>298.5</v>
      </c>
      <c r="X75" s="2">
        <v>205.37</v>
      </c>
      <c r="Y75" s="2">
        <v>170.66</v>
      </c>
      <c r="Z75" s="2">
        <v>105.99</v>
      </c>
      <c r="AA75" s="2">
        <v>41.97</v>
      </c>
      <c r="AB75" s="2">
        <v>24.18</v>
      </c>
      <c r="AC75" s="90">
        <f t="shared" si="3"/>
        <v>1792.81</v>
      </c>
    </row>
    <row r="76" spans="1:29" x14ac:dyDescent="0.25">
      <c r="A76" s="52">
        <v>2021</v>
      </c>
      <c r="B76" s="95" t="s">
        <v>13</v>
      </c>
      <c r="C76" s="2">
        <v>108.25</v>
      </c>
      <c r="D76" s="2">
        <v>149.26</v>
      </c>
      <c r="E76" s="2">
        <v>253.31</v>
      </c>
      <c r="F76" s="2">
        <v>267.73</v>
      </c>
      <c r="G76" s="90">
        <v>221.9</v>
      </c>
      <c r="H76" s="2">
        <v>282.14999999999998</v>
      </c>
      <c r="I76" s="2">
        <v>232.34</v>
      </c>
      <c r="J76" s="2">
        <v>151.56</v>
      </c>
      <c r="K76" s="2">
        <v>199.84</v>
      </c>
      <c r="L76" s="2">
        <v>44.59</v>
      </c>
      <c r="M76" s="95">
        <v>30.14</v>
      </c>
      <c r="N76" s="90">
        <f t="shared" si="0"/>
        <v>1941.0699999999997</v>
      </c>
      <c r="P76" s="52">
        <v>2021</v>
      </c>
      <c r="Q76" s="4">
        <v>50.03</v>
      </c>
      <c r="R76" s="4">
        <v>103.41999999999999</v>
      </c>
      <c r="S76" s="4">
        <v>146.97000000000003</v>
      </c>
      <c r="T76" s="4">
        <v>227.38999999999996</v>
      </c>
      <c r="U76" s="4">
        <v>262.54000000000002</v>
      </c>
      <c r="V76" s="90">
        <v>245.93</v>
      </c>
      <c r="W76" s="4">
        <v>291.11000000000013</v>
      </c>
      <c r="X76" s="4">
        <v>239.24000000000012</v>
      </c>
      <c r="Y76" s="4">
        <v>147.83000000000004</v>
      </c>
      <c r="Z76" s="4">
        <v>95.419999999999987</v>
      </c>
      <c r="AA76" s="4">
        <v>41.27000000000001</v>
      </c>
      <c r="AB76" s="4">
        <v>34.879999999999995</v>
      </c>
      <c r="AC76" s="90">
        <f t="shared" si="3"/>
        <v>1886.0300000000002</v>
      </c>
    </row>
    <row r="77" spans="1:29" x14ac:dyDescent="0.25">
      <c r="A77" s="52">
        <v>2022</v>
      </c>
      <c r="B77" s="2">
        <v>40.51</v>
      </c>
      <c r="C77" s="2">
        <v>67.11</v>
      </c>
      <c r="D77" s="2">
        <v>126.15</v>
      </c>
      <c r="E77" s="2">
        <v>197.36</v>
      </c>
      <c r="F77" s="2">
        <v>245.88</v>
      </c>
      <c r="G77" s="95">
        <v>248.31</v>
      </c>
      <c r="H77" s="2">
        <v>298.88</v>
      </c>
      <c r="I77" s="2">
        <v>233.26</v>
      </c>
      <c r="J77" s="2">
        <v>167.59</v>
      </c>
      <c r="K77" s="2">
        <v>105.04</v>
      </c>
      <c r="L77" s="2">
        <v>46.28</v>
      </c>
      <c r="M77" s="95">
        <v>29.47</v>
      </c>
      <c r="N77" s="90">
        <f t="shared" si="0"/>
        <v>1805.8399999999997</v>
      </c>
      <c r="P77" s="52">
        <v>2022</v>
      </c>
      <c r="Q77" s="90">
        <v>40.92</v>
      </c>
      <c r="R77" s="4">
        <v>81.91</v>
      </c>
      <c r="S77" s="4">
        <v>124.38999999999999</v>
      </c>
      <c r="T77" s="4">
        <v>199</v>
      </c>
      <c r="U77" s="4">
        <v>264.02</v>
      </c>
      <c r="V77" s="90">
        <v>279.26</v>
      </c>
      <c r="W77" s="4">
        <v>288.50000000000006</v>
      </c>
      <c r="X77" s="4">
        <v>209.66000000000003</v>
      </c>
      <c r="Y77" s="4">
        <v>170.67000000000002</v>
      </c>
      <c r="Z77" s="95">
        <v>106.61</v>
      </c>
      <c r="AA77" s="2">
        <v>48.39</v>
      </c>
      <c r="AB77" s="4">
        <v>32.700000000000003</v>
      </c>
      <c r="AC77" s="90">
        <f t="shared" si="3"/>
        <v>1846.0300000000002</v>
      </c>
    </row>
    <row r="78" spans="1:29" x14ac:dyDescent="0.25">
      <c r="A78" s="52">
        <v>2023</v>
      </c>
      <c r="B78" s="2">
        <v>39.35</v>
      </c>
      <c r="C78" s="2">
        <v>71.819999999999993</v>
      </c>
      <c r="D78" s="2">
        <v>161.38</v>
      </c>
      <c r="E78" s="2">
        <v>204.61</v>
      </c>
      <c r="F78" s="4">
        <v>237.7</v>
      </c>
      <c r="G78" s="2">
        <v>274.32</v>
      </c>
      <c r="H78" s="2">
        <v>284.43</v>
      </c>
      <c r="I78" s="2">
        <v>237.23</v>
      </c>
      <c r="J78" s="2">
        <v>160.27000000000001</v>
      </c>
      <c r="K78" s="2">
        <v>103.55</v>
      </c>
      <c r="L78" s="2">
        <v>50.77</v>
      </c>
      <c r="M78" s="95">
        <v>29.81</v>
      </c>
      <c r="N78" s="90">
        <f>SUM(B78:M78)</f>
        <v>1855.2399999999998</v>
      </c>
      <c r="O78" s="1"/>
      <c r="P78" s="52">
        <v>2023</v>
      </c>
      <c r="Q78" s="4">
        <v>37</v>
      </c>
      <c r="R78" s="4">
        <v>68.61</v>
      </c>
      <c r="S78" s="4">
        <v>165.66</v>
      </c>
      <c r="T78" s="4">
        <v>201.28</v>
      </c>
      <c r="U78" s="4">
        <v>247.07</v>
      </c>
      <c r="V78" s="4">
        <v>280.89</v>
      </c>
      <c r="W78" s="4">
        <v>295.25</v>
      </c>
      <c r="X78" s="4">
        <v>237.71</v>
      </c>
      <c r="Y78" s="4">
        <v>147.79</v>
      </c>
      <c r="Z78" s="4">
        <v>105.24</v>
      </c>
      <c r="AA78" s="4">
        <v>51.58</v>
      </c>
      <c r="AB78" s="4">
        <v>30.49</v>
      </c>
      <c r="AC78" s="4">
        <f>SUM(Q78:AB78)</f>
        <v>1868.5699999999997</v>
      </c>
    </row>
    <row r="79" spans="1:29" x14ac:dyDescent="0.25">
      <c r="A79" s="52">
        <v>2024</v>
      </c>
      <c r="B79" s="2">
        <v>48.27</v>
      </c>
      <c r="C79" s="2">
        <v>68.81</v>
      </c>
      <c r="D79" s="2">
        <v>154.47999999999999</v>
      </c>
      <c r="E79" s="2">
        <v>254.82</v>
      </c>
      <c r="F79" s="2">
        <v>233.78</v>
      </c>
      <c r="G79" s="2">
        <v>276.27999999999997</v>
      </c>
      <c r="H79" s="2">
        <v>285.69</v>
      </c>
      <c r="I79" s="4">
        <v>240</v>
      </c>
      <c r="J79" s="2">
        <v>159.53</v>
      </c>
      <c r="K79" s="2">
        <v>97.56</v>
      </c>
      <c r="L79" s="2">
        <v>40.26</v>
      </c>
      <c r="M79" s="4">
        <v>28.8</v>
      </c>
      <c r="N79" s="4">
        <f>SUM(B79:M79)</f>
        <v>1888.28</v>
      </c>
      <c r="P79" s="52">
        <v>2024</v>
      </c>
      <c r="Q79" s="4">
        <v>48.79</v>
      </c>
      <c r="R79" s="4">
        <v>72.53</v>
      </c>
      <c r="S79" s="4">
        <v>159.32</v>
      </c>
      <c r="T79" s="4">
        <v>220.68</v>
      </c>
      <c r="U79" s="4">
        <v>240.89</v>
      </c>
      <c r="V79" s="4">
        <v>267</v>
      </c>
      <c r="W79" s="4">
        <v>291.18</v>
      </c>
      <c r="X79" s="4">
        <v>232.8</v>
      </c>
      <c r="Y79" s="4">
        <v>146.4</v>
      </c>
      <c r="Z79" s="4">
        <v>98.2</v>
      </c>
      <c r="AA79" s="4">
        <v>41.37</v>
      </c>
      <c r="AB79" s="4">
        <v>26.32</v>
      </c>
      <c r="AC79" s="4">
        <f>SUM(Q79:AB79)</f>
        <v>1845.48</v>
      </c>
    </row>
    <row r="80" spans="1:29" x14ac:dyDescent="0.25">
      <c r="A80" s="52">
        <v>2025</v>
      </c>
      <c r="B80" s="2">
        <v>36.75</v>
      </c>
      <c r="C80" s="2">
        <v>77.66</v>
      </c>
      <c r="D80" s="2">
        <v>118.88</v>
      </c>
      <c r="E80" s="2">
        <v>215.69</v>
      </c>
      <c r="F80" s="2">
        <v>280.72000000000003</v>
      </c>
      <c r="G80" s="2">
        <v>306.85000000000002</v>
      </c>
      <c r="H80" s="2">
        <v>294.79000000000002</v>
      </c>
      <c r="I80" s="2">
        <v>252.25</v>
      </c>
      <c r="J80" s="2">
        <v>153.58000000000001</v>
      </c>
      <c r="K80" s="2">
        <v>101.71</v>
      </c>
      <c r="L80" s="2">
        <v>48.94</v>
      </c>
      <c r="M80" s="2">
        <v>26.38</v>
      </c>
      <c r="N80" s="4">
        <f>SUM(B80:M80)</f>
        <v>1914.2000000000003</v>
      </c>
      <c r="P80" s="52">
        <v>2025</v>
      </c>
      <c r="Q80" s="4">
        <v>35.200000000000003</v>
      </c>
      <c r="R80" s="4">
        <v>70.11</v>
      </c>
      <c r="S80" s="4">
        <v>125.9</v>
      </c>
      <c r="T80" s="4">
        <v>208.1</v>
      </c>
      <c r="U80" s="4">
        <v>303.77999999999997</v>
      </c>
      <c r="V80" s="4">
        <v>296.67</v>
      </c>
      <c r="W80" s="4">
        <v>282.83999999999997</v>
      </c>
      <c r="X80" s="4">
        <v>248.39</v>
      </c>
      <c r="Y80" s="4">
        <v>172.28</v>
      </c>
      <c r="Z80" s="4">
        <v>101.21</v>
      </c>
      <c r="AA80" s="4">
        <v>50.51</v>
      </c>
      <c r="AB80" s="4">
        <v>26.52</v>
      </c>
      <c r="AC80" s="4">
        <f>SUM(Q80:AB80)</f>
        <v>1921.5099999999998</v>
      </c>
    </row>
    <row r="84" spans="1:29" x14ac:dyDescent="0.25">
      <c r="A84" s="160" t="s">
        <v>29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  <c r="P84" s="160" t="s">
        <v>29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2"/>
    </row>
    <row r="85" spans="1:29" x14ac:dyDescent="0.25">
      <c r="A85" s="148"/>
      <c r="B85" s="52" t="s">
        <v>1</v>
      </c>
      <c r="C85" s="52" t="s">
        <v>2</v>
      </c>
      <c r="D85" s="52" t="s">
        <v>3</v>
      </c>
      <c r="E85" s="52" t="s">
        <v>4</v>
      </c>
      <c r="F85" s="52" t="s">
        <v>5</v>
      </c>
      <c r="G85" s="52" t="s">
        <v>6</v>
      </c>
      <c r="H85" s="52" t="s">
        <v>7</v>
      </c>
      <c r="I85" s="52" t="s">
        <v>8</v>
      </c>
      <c r="J85" s="52" t="s">
        <v>9</v>
      </c>
      <c r="K85" s="52" t="s">
        <v>10</v>
      </c>
      <c r="L85" s="52" t="s">
        <v>11</v>
      </c>
      <c r="M85" s="52" t="s">
        <v>12</v>
      </c>
      <c r="N85" s="52" t="s">
        <v>25</v>
      </c>
      <c r="P85" s="87"/>
      <c r="Q85" s="52" t="s">
        <v>1</v>
      </c>
      <c r="R85" s="52" t="s">
        <v>2</v>
      </c>
      <c r="S85" s="52" t="s">
        <v>3</v>
      </c>
      <c r="T85" s="52" t="s">
        <v>4</v>
      </c>
      <c r="U85" s="52" t="s">
        <v>5</v>
      </c>
      <c r="V85" s="52" t="s">
        <v>6</v>
      </c>
      <c r="W85" s="52" t="s">
        <v>7</v>
      </c>
      <c r="X85" s="52" t="s">
        <v>8</v>
      </c>
      <c r="Y85" s="52" t="s">
        <v>9</v>
      </c>
      <c r="Z85" s="52" t="s">
        <v>10</v>
      </c>
      <c r="AA85" s="52" t="s">
        <v>11</v>
      </c>
      <c r="AB85" s="52" t="s">
        <v>12</v>
      </c>
      <c r="AC85" s="52" t="s">
        <v>25</v>
      </c>
    </row>
    <row r="86" spans="1:29" x14ac:dyDescent="0.25">
      <c r="A86" s="53" t="s">
        <v>23</v>
      </c>
      <c r="B86" s="56">
        <f>MAX(B19:B42,B44:B46,B48,B50:B51,B54,B56:B57,B61:B65,B67:B74,B77:B80)</f>
        <v>79.59</v>
      </c>
      <c r="C86" s="56">
        <f>MAX(C19:C42,C44:C48,C51:C54,C56:C57,C61:C80)</f>
        <v>130.82</v>
      </c>
      <c r="D86" s="56">
        <f>MAX(D19:D47,D50:D53,D55:D57,D61:D62,D64:D80)</f>
        <v>266.83999999999997</v>
      </c>
      <c r="E86" s="56">
        <f>MAX(E19:E41,E44:E47,E51:E56,E62:E68,E70,E72,E74,E76:E80)</f>
        <v>359.68</v>
      </c>
      <c r="F86" s="56">
        <f>MAX(F19:F41,F44:F46,F48,F52,F54,F56,F64:F67,F69,F72,F74:F80)</f>
        <v>352.03</v>
      </c>
      <c r="G86" s="56">
        <f>MAX(G19:G46,G48,G51,G53,G56:G57,G64:G67,G69:G70,G72:G75,G78:G80)</f>
        <v>401.81</v>
      </c>
      <c r="H86" s="56">
        <f>MAX(H19:H38,H40:H41,H43:H46,H48,H55:H57,H64:H67,H51,H69:H72,H74:H80,H62)</f>
        <v>443.08</v>
      </c>
      <c r="I86" s="56">
        <f>MAX(I19:I41,I44,I46:I48,I51:I52,I55:I57,I69,I61:I66,I71:I72,I74:I80)</f>
        <v>419.98</v>
      </c>
      <c r="J86" s="56">
        <f>MAX(J19:J41,J44:J49,J51:J54,J57,J74:J80,J60:J66,J69:J72)</f>
        <v>250.88</v>
      </c>
      <c r="K86" s="56">
        <f>MAX(K19:K41,K53:K57,K60:K62,K66,K69:K72,K44,K46:K50,K74:K80)</f>
        <v>199.84</v>
      </c>
      <c r="L86" s="56">
        <f>MAX(L19:L41,L54:L56,L50:L51,L60:L62,L64,L66:L67,L44,L70:L73,L46:L48,L76:L80)</f>
        <v>71.78</v>
      </c>
      <c r="M86" s="56">
        <f>MAX(M19:M41,M44:M47,M50,M53,M55,M57,M60:M64,M66:M67,M69:M73,M79:M80)</f>
        <v>53.45</v>
      </c>
      <c r="N86" s="99">
        <f>MAX(N19,N21:N38,N40:N41,N44,N79:N80,N72,N46)</f>
        <v>2493.8599999999997</v>
      </c>
      <c r="P86" s="53" t="s">
        <v>23</v>
      </c>
      <c r="Q86" s="56">
        <f>MAX(Q37,Q39:Q67,Q69:Q74,Q76,Q78:Q80)</f>
        <v>69.81</v>
      </c>
      <c r="R86" s="56">
        <f>MAX(R37,R39:R48,R50:R72,R74:R80)</f>
        <v>116.09</v>
      </c>
      <c r="S86" s="56">
        <f>MAX(S37,S39:S72,S74,S76:S80)</f>
        <v>223.6</v>
      </c>
      <c r="T86" s="56">
        <f>MAX(T37,T39:T50,T52:T72,T75:T80)</f>
        <v>248.66</v>
      </c>
      <c r="U86" s="56">
        <f>MAX(U37,U39:U48,U50:U60,U62:U72,U75:U80)</f>
        <v>320.26</v>
      </c>
      <c r="V86" s="56">
        <f>MAX(V37,V39:V72,V75:V75,V78:V80)</f>
        <v>380.47</v>
      </c>
      <c r="W86" s="56">
        <f>MAX(W37:W72,W75:W80)</f>
        <v>393.47</v>
      </c>
      <c r="X86" s="56">
        <f>MAX(X37:X57,X59:X73,X75:X80)</f>
        <v>328.44</v>
      </c>
      <c r="Y86" s="56">
        <f>MAX(Y37:Y57,Y59:Y65,Y67:Y71,Y73,Y75:Y80)</f>
        <v>252.42</v>
      </c>
      <c r="Z86" s="56">
        <f>MAX(Z37:Z76,Z78:Z80)</f>
        <v>133.78</v>
      </c>
      <c r="AA86" s="56">
        <f>MAX(AA37:AA80)</f>
        <v>67.23</v>
      </c>
      <c r="AB86" s="56">
        <f>MAX(AB37:AB42,AB44:AB60,AB62:AB73,AB75:AB80)</f>
        <v>40.98</v>
      </c>
      <c r="AC86" s="99">
        <f>MAX(AC37,AC39:AC42,AC44:AC48,AC50,AC52:AC57,AC59:AC60,AC62:AC67,P87,AC69:AC71,AC78:AC80)</f>
        <v>2181.3000000000002</v>
      </c>
    </row>
    <row r="87" spans="1:29" x14ac:dyDescent="0.25">
      <c r="A87" s="51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P87" s="51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1:29" x14ac:dyDescent="0.25">
      <c r="A88" s="54" t="s">
        <v>24</v>
      </c>
      <c r="B88" s="55">
        <f>MIN(B19:B42,B44:B46,B48,B50:B51,B54,B56:B57,B61:B65,B67:B74,B77:B80)</f>
        <v>22.61</v>
      </c>
      <c r="C88" s="55">
        <f>MIN(C19:C42,C44:C48,C51:C54,C56:C57,C61:C80)</f>
        <v>46.055</v>
      </c>
      <c r="D88" s="55">
        <f>MAX(D19:D47,D50:D53,D55:D57,D61:D62,D64:D80)</f>
        <v>266.83999999999997</v>
      </c>
      <c r="E88" s="55">
        <f>MIN(E19:E41,E44:E47,E51:E56,E62:E68,E70,E72,E74,E76:E80)</f>
        <v>107.03</v>
      </c>
      <c r="F88" s="55">
        <f>MIN(F19:F41,F44:F46,F48,F52,F54,F56,F64:F67,F69,F72,F74:F80)</f>
        <v>155.11000000000001</v>
      </c>
      <c r="G88" s="55">
        <f>MIN(G19:G46,G53,G48,G51,G56:G57,G64:G67,G72:G75,G78:G80,G69:G70)</f>
        <v>143.24</v>
      </c>
      <c r="H88" s="55">
        <f>MIN(H19:H38,H40:H41,H43:H46,H62,H48,H51,H55:H57,H64:H67,H69:H72,H74:H80)</f>
        <v>220.44</v>
      </c>
      <c r="I88" s="55">
        <f>MIN(I19:I41,I44,I46:I48,I55:I57,I51:I52,I69,I61:I66,I71:I72,I74:I80)</f>
        <v>200.75</v>
      </c>
      <c r="J88" s="55">
        <f>MIN(J19:J41,J44:J49,J51:J54,J57,J60:J66,J69:J72,J74:J80)</f>
        <v>93.91</v>
      </c>
      <c r="K88" s="55">
        <f>MIN(K19:K41,K44,K53:K57,K60:K62,K66,K69:K72,K46:K50,K74:K80)</f>
        <v>46.055</v>
      </c>
      <c r="L88" s="55">
        <f>MIN(L19:L41,L54:L56,L60:L62,L64,L66:L67,L70:L73,L44,L46:L48,L76:L80,L50:L51)</f>
        <v>23.75</v>
      </c>
      <c r="M88" s="55">
        <f>MIN(M19:M41,M44:M47,M50,M53,M55,M57,M60:M64,M66:M67,M69:M73,M79:M80)</f>
        <v>16.747</v>
      </c>
      <c r="N88" s="99">
        <f>MIN(N19,N21:N38,N40:N41,N44,N79:N80,N72,N46)</f>
        <v>1595.1679999999997</v>
      </c>
      <c r="P88" s="54" t="s">
        <v>24</v>
      </c>
      <c r="Q88" s="55">
        <f>MIN(Q37,Q39:Q67,Q69:Q74,Q76,Q78:Q80)</f>
        <v>31.33</v>
      </c>
      <c r="R88" s="55">
        <f>MIN(R37,R39:R48,R50:R72,R74:R80)</f>
        <v>43.49</v>
      </c>
      <c r="S88" s="55">
        <f>MIN(S37,S39:S72,S76:S80,S74)</f>
        <v>108.94</v>
      </c>
      <c r="T88" s="55">
        <f>MIN(T37,T39:T50,T52:T72,T75:T80)</f>
        <v>150.84</v>
      </c>
      <c r="U88" s="55">
        <f>MIN(U37,U39:U48,U50:U60,U62:U72,U75:U80)</f>
        <v>193.88</v>
      </c>
      <c r="V88" s="55">
        <f>MIN(V37,V39:V72,V75,V78:V80)</f>
        <v>179.26</v>
      </c>
      <c r="W88" s="55">
        <f>MIN(W37:W72,W75:W80)</f>
        <v>148.61000000000001</v>
      </c>
      <c r="X88" s="55">
        <f>MIN(X37:X57,X59:X73,X75:X80)</f>
        <v>156.99</v>
      </c>
      <c r="Y88" s="55">
        <f>MIN(Y37:Y57,Y59:Y65,Y67:Y71,Y73,Y75:Y80)</f>
        <v>103.23</v>
      </c>
      <c r="Z88" s="55">
        <f>MIN(Z37:Z76,Z78:Z80)</f>
        <v>63.93</v>
      </c>
      <c r="AA88" s="55">
        <f>MIN(AA37:AA80)</f>
        <v>31.29</v>
      </c>
      <c r="AB88" s="55">
        <f>MIN(AB37:AB42,AB44:AB60,AB62:AB73,AB75:AB80)</f>
        <v>20.5</v>
      </c>
      <c r="AC88" s="99">
        <f>MIN(AC37,AC39:AC42,AC44:AC48,AC50,AC52:AC57,AC59:AC60,AC62:AC67,AC69:AC71,AC78:AC80)</f>
        <v>1451.86</v>
      </c>
    </row>
    <row r="92" spans="1:29" ht="6.75" customHeight="1" x14ac:dyDescent="0.25"/>
  </sheetData>
  <mergeCells count="4">
    <mergeCell ref="Q9:Y9"/>
    <mergeCell ref="B9:J9"/>
    <mergeCell ref="A84:N84"/>
    <mergeCell ref="P84:AC8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2"/>
  <sheetViews>
    <sheetView zoomScale="60" zoomScaleNormal="60" workbookViewId="0">
      <selection activeCell="L6" sqref="L6"/>
    </sheetView>
  </sheetViews>
  <sheetFormatPr defaultRowHeight="15" x14ac:dyDescent="0.25"/>
  <cols>
    <col min="1" max="1" width="15.7109375" customWidth="1"/>
    <col min="15" max="15" width="13" customWidth="1"/>
    <col min="16" max="16" width="15.7109375" customWidth="1"/>
  </cols>
  <sheetData>
    <row r="1" spans="1:29" ht="15.75" x14ac:dyDescent="0.25">
      <c r="A1" s="141" t="s">
        <v>51</v>
      </c>
      <c r="O1" s="140"/>
      <c r="P1" s="141" t="s">
        <v>52</v>
      </c>
    </row>
    <row r="2" spans="1:29" x14ac:dyDescent="0.25">
      <c r="A2" s="6" t="s">
        <v>15</v>
      </c>
      <c r="O2" s="140"/>
      <c r="P2" s="6" t="s">
        <v>31</v>
      </c>
    </row>
    <row r="3" spans="1:29" x14ac:dyDescent="0.25">
      <c r="A3" s="6" t="s">
        <v>19</v>
      </c>
      <c r="O3" s="140"/>
      <c r="P3" s="6" t="s">
        <v>38</v>
      </c>
    </row>
    <row r="4" spans="1:29" x14ac:dyDescent="0.25">
      <c r="A4" s="96"/>
      <c r="B4" s="3" t="s">
        <v>33</v>
      </c>
      <c r="O4" s="140"/>
      <c r="P4" s="137"/>
      <c r="Q4" s="3" t="s">
        <v>33</v>
      </c>
    </row>
    <row r="5" spans="1:29" x14ac:dyDescent="0.25">
      <c r="A5" s="43"/>
      <c r="B5" t="s">
        <v>57</v>
      </c>
      <c r="O5" s="140"/>
      <c r="P5" s="138"/>
      <c r="Q5" t="s">
        <v>57</v>
      </c>
    </row>
    <row r="6" spans="1:29" x14ac:dyDescent="0.25">
      <c r="O6" s="140"/>
    </row>
    <row r="7" spans="1:29" x14ac:dyDescent="0.25">
      <c r="O7" s="140"/>
    </row>
    <row r="8" spans="1:29" x14ac:dyDescent="0.25">
      <c r="A8" s="52" t="s">
        <v>0</v>
      </c>
      <c r="B8" s="149" t="s">
        <v>1</v>
      </c>
      <c r="C8" s="149" t="s">
        <v>2</v>
      </c>
      <c r="D8" s="149" t="s">
        <v>3</v>
      </c>
      <c r="E8" s="149" t="s">
        <v>4</v>
      </c>
      <c r="F8" s="149" t="s">
        <v>5</v>
      </c>
      <c r="G8" s="149" t="s">
        <v>6</v>
      </c>
      <c r="H8" s="149" t="s">
        <v>7</v>
      </c>
      <c r="I8" s="149" t="s">
        <v>8</v>
      </c>
      <c r="J8" s="149" t="s">
        <v>9</v>
      </c>
      <c r="K8" s="149" t="s">
        <v>10</v>
      </c>
      <c r="L8" s="149" t="s">
        <v>11</v>
      </c>
      <c r="M8" s="149" t="s">
        <v>12</v>
      </c>
      <c r="N8" s="54" t="s">
        <v>25</v>
      </c>
      <c r="O8" s="140"/>
      <c r="P8" s="52" t="s">
        <v>0</v>
      </c>
      <c r="Q8" s="149" t="s">
        <v>1</v>
      </c>
      <c r="R8" s="149" t="s">
        <v>2</v>
      </c>
      <c r="S8" s="149" t="s">
        <v>3</v>
      </c>
      <c r="T8" s="149" t="s">
        <v>4</v>
      </c>
      <c r="U8" s="149" t="s">
        <v>5</v>
      </c>
      <c r="V8" s="149" t="s">
        <v>6</v>
      </c>
      <c r="W8" s="149" t="s">
        <v>7</v>
      </c>
      <c r="X8" s="149" t="s">
        <v>8</v>
      </c>
      <c r="Y8" s="149" t="s">
        <v>9</v>
      </c>
      <c r="Z8" s="149" t="s">
        <v>10</v>
      </c>
      <c r="AA8" s="149" t="s">
        <v>11</v>
      </c>
      <c r="AB8" s="149" t="s">
        <v>12</v>
      </c>
      <c r="AC8" s="54" t="s">
        <v>25</v>
      </c>
    </row>
    <row r="9" spans="1:29" x14ac:dyDescent="0.25">
      <c r="A9" s="51">
        <v>1954</v>
      </c>
      <c r="B9" s="163" t="s">
        <v>50</v>
      </c>
      <c r="C9" s="164"/>
      <c r="D9" s="164"/>
      <c r="E9" s="164"/>
      <c r="F9" s="164"/>
      <c r="G9" s="164"/>
      <c r="H9" s="164"/>
      <c r="I9" s="164"/>
      <c r="J9" s="165"/>
      <c r="K9" s="41"/>
      <c r="L9" s="41"/>
      <c r="M9" s="41"/>
      <c r="N9" s="38"/>
      <c r="O9" s="140"/>
      <c r="P9" s="51">
        <v>1954</v>
      </c>
      <c r="Q9" s="163" t="s">
        <v>50</v>
      </c>
      <c r="R9" s="164"/>
      <c r="S9" s="164"/>
      <c r="T9" s="164"/>
      <c r="U9" s="164"/>
      <c r="V9" s="164"/>
      <c r="W9" s="164"/>
      <c r="X9" s="164"/>
      <c r="Y9" s="165"/>
      <c r="Z9" s="41"/>
      <c r="AA9" s="41"/>
      <c r="AB9" s="41"/>
      <c r="AC9" s="38"/>
    </row>
    <row r="10" spans="1:29" x14ac:dyDescent="0.25">
      <c r="A10" s="51">
        <v>1955</v>
      </c>
      <c r="B10" s="33">
        <v>42</v>
      </c>
      <c r="C10" s="33">
        <v>113</v>
      </c>
      <c r="D10" s="33">
        <v>268</v>
      </c>
      <c r="E10" s="33">
        <v>298</v>
      </c>
      <c r="F10" s="33">
        <v>486</v>
      </c>
      <c r="G10" s="33">
        <v>608</v>
      </c>
      <c r="H10" s="33">
        <v>633</v>
      </c>
      <c r="I10" s="33">
        <v>578</v>
      </c>
      <c r="J10" s="33">
        <v>272</v>
      </c>
      <c r="K10" s="33">
        <v>155</v>
      </c>
      <c r="L10" s="33">
        <v>46</v>
      </c>
      <c r="M10" s="33">
        <v>21</v>
      </c>
      <c r="N10" s="33">
        <f>SUM(B10:M10)</f>
        <v>3520</v>
      </c>
      <c r="P10" s="51">
        <v>1955</v>
      </c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</row>
    <row r="11" spans="1:29" x14ac:dyDescent="0.25">
      <c r="A11" s="51">
        <v>1956</v>
      </c>
      <c r="B11" s="33">
        <v>38</v>
      </c>
      <c r="C11" s="33">
        <v>122</v>
      </c>
      <c r="D11" s="33">
        <v>365</v>
      </c>
      <c r="E11" s="33">
        <v>193</v>
      </c>
      <c r="F11" s="150" t="s">
        <v>13</v>
      </c>
      <c r="G11" s="33">
        <v>595</v>
      </c>
      <c r="H11" s="33">
        <v>557</v>
      </c>
      <c r="I11" s="33">
        <v>360</v>
      </c>
      <c r="J11" s="33">
        <v>306</v>
      </c>
      <c r="K11" s="33">
        <v>134</v>
      </c>
      <c r="L11" s="33">
        <v>71</v>
      </c>
      <c r="M11" s="33">
        <v>34</v>
      </c>
      <c r="N11" s="101">
        <f t="shared" ref="N11:N74" si="0">SUM(B11:M11)</f>
        <v>2775</v>
      </c>
      <c r="P11" s="51">
        <v>1956</v>
      </c>
      <c r="Q11" s="67"/>
      <c r="R11" s="67"/>
      <c r="S11" s="67"/>
      <c r="T11" s="67"/>
      <c r="U11" s="66"/>
      <c r="V11" s="67"/>
      <c r="W11" s="67"/>
      <c r="X11" s="67"/>
      <c r="Y11" s="67"/>
      <c r="Z11" s="67"/>
      <c r="AA11" s="67"/>
      <c r="AB11" s="67"/>
      <c r="AC11" s="67"/>
    </row>
    <row r="12" spans="1:29" x14ac:dyDescent="0.25">
      <c r="A12" s="51">
        <v>1957</v>
      </c>
      <c r="B12" s="33">
        <v>38</v>
      </c>
      <c r="C12" s="33">
        <v>84</v>
      </c>
      <c r="D12" s="33">
        <v>281</v>
      </c>
      <c r="E12" s="33">
        <v>369</v>
      </c>
      <c r="F12" s="33">
        <v>511</v>
      </c>
      <c r="G12" s="33">
        <v>645</v>
      </c>
      <c r="H12" s="33">
        <v>524</v>
      </c>
      <c r="I12" s="33">
        <v>377</v>
      </c>
      <c r="J12" s="33">
        <v>235</v>
      </c>
      <c r="K12" s="33">
        <v>134</v>
      </c>
      <c r="L12" s="33">
        <v>59</v>
      </c>
      <c r="M12" s="33">
        <v>38</v>
      </c>
      <c r="N12" s="33">
        <f t="shared" si="0"/>
        <v>3295</v>
      </c>
      <c r="P12" s="51">
        <v>1957</v>
      </c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</row>
    <row r="13" spans="1:29" x14ac:dyDescent="0.25">
      <c r="A13" s="51">
        <v>1958</v>
      </c>
      <c r="B13" s="33">
        <v>50</v>
      </c>
      <c r="C13" s="33">
        <v>105</v>
      </c>
      <c r="D13" s="33">
        <v>323</v>
      </c>
      <c r="E13" s="33">
        <v>377</v>
      </c>
      <c r="F13" s="33">
        <v>528</v>
      </c>
      <c r="G13" s="33">
        <v>553</v>
      </c>
      <c r="H13" s="33">
        <v>515</v>
      </c>
      <c r="I13" s="33">
        <v>453</v>
      </c>
      <c r="J13" s="33">
        <v>293</v>
      </c>
      <c r="K13" s="33">
        <v>159</v>
      </c>
      <c r="L13" s="33">
        <v>34</v>
      </c>
      <c r="M13" s="33">
        <v>29</v>
      </c>
      <c r="N13" s="33">
        <f t="shared" si="0"/>
        <v>3419</v>
      </c>
      <c r="P13" s="51">
        <v>1958</v>
      </c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1:29" x14ac:dyDescent="0.25">
      <c r="A14" s="51">
        <v>1959</v>
      </c>
      <c r="B14" s="33">
        <v>46</v>
      </c>
      <c r="C14" s="33">
        <v>75</v>
      </c>
      <c r="D14" s="33">
        <v>264</v>
      </c>
      <c r="E14" s="33">
        <v>406</v>
      </c>
      <c r="F14" s="33">
        <v>666</v>
      </c>
      <c r="G14" s="33">
        <v>658</v>
      </c>
      <c r="H14" s="33">
        <v>633</v>
      </c>
      <c r="I14" s="33">
        <v>553</v>
      </c>
      <c r="J14" s="33">
        <v>323</v>
      </c>
      <c r="K14" s="33">
        <v>168</v>
      </c>
      <c r="L14" s="33">
        <v>59</v>
      </c>
      <c r="M14" s="33">
        <v>29</v>
      </c>
      <c r="N14" s="33">
        <f t="shared" si="0"/>
        <v>3880</v>
      </c>
      <c r="P14" s="51">
        <v>1959</v>
      </c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</row>
    <row r="15" spans="1:29" x14ac:dyDescent="0.25">
      <c r="A15" s="51">
        <v>1960</v>
      </c>
      <c r="B15" s="33">
        <v>42</v>
      </c>
      <c r="C15" s="33">
        <v>130</v>
      </c>
      <c r="D15" s="33">
        <v>302</v>
      </c>
      <c r="E15" s="33">
        <v>423</v>
      </c>
      <c r="F15" s="33">
        <v>549</v>
      </c>
      <c r="G15" s="33">
        <v>612</v>
      </c>
      <c r="H15" s="33">
        <v>494</v>
      </c>
      <c r="I15" s="33">
        <v>436</v>
      </c>
      <c r="J15" s="33">
        <v>348</v>
      </c>
      <c r="K15" s="33">
        <v>126</v>
      </c>
      <c r="L15" s="33">
        <v>38</v>
      </c>
      <c r="M15" s="33">
        <v>17</v>
      </c>
      <c r="N15" s="33">
        <f t="shared" si="0"/>
        <v>3517</v>
      </c>
      <c r="P15" s="51">
        <v>1960</v>
      </c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</row>
    <row r="16" spans="1:29" x14ac:dyDescent="0.25">
      <c r="A16" s="51">
        <v>1961</v>
      </c>
      <c r="B16" s="33">
        <v>42</v>
      </c>
      <c r="C16" s="33">
        <v>55</v>
      </c>
      <c r="D16" s="33">
        <v>193</v>
      </c>
      <c r="E16" s="33">
        <v>461</v>
      </c>
      <c r="F16" s="33">
        <v>482</v>
      </c>
      <c r="G16" s="33">
        <v>578</v>
      </c>
      <c r="H16" s="33">
        <v>490</v>
      </c>
      <c r="I16" s="33">
        <v>411</v>
      </c>
      <c r="J16" s="33">
        <v>293</v>
      </c>
      <c r="K16" s="33">
        <v>159</v>
      </c>
      <c r="L16" s="33">
        <v>42</v>
      </c>
      <c r="M16" s="33">
        <v>42</v>
      </c>
      <c r="N16" s="33">
        <f t="shared" si="0"/>
        <v>3248</v>
      </c>
      <c r="P16" s="51">
        <v>1961</v>
      </c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</row>
    <row r="17" spans="1:30" x14ac:dyDescent="0.25">
      <c r="A17" s="51">
        <v>1962</v>
      </c>
      <c r="B17" s="33">
        <v>42</v>
      </c>
      <c r="C17" s="33">
        <v>109</v>
      </c>
      <c r="D17" s="33">
        <v>272</v>
      </c>
      <c r="E17" s="33">
        <v>310</v>
      </c>
      <c r="F17" s="33">
        <v>402</v>
      </c>
      <c r="G17" s="33">
        <v>570</v>
      </c>
      <c r="H17" s="33">
        <v>528</v>
      </c>
      <c r="I17" s="33">
        <v>394</v>
      </c>
      <c r="J17" s="33">
        <v>243</v>
      </c>
      <c r="K17" s="33">
        <v>126</v>
      </c>
      <c r="L17" s="33">
        <v>59</v>
      </c>
      <c r="M17" s="33">
        <v>42</v>
      </c>
      <c r="N17" s="33">
        <f t="shared" si="0"/>
        <v>3097</v>
      </c>
      <c r="P17" s="51">
        <v>1962</v>
      </c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30" x14ac:dyDescent="0.25">
      <c r="A18" s="51">
        <v>1963</v>
      </c>
      <c r="B18" s="33">
        <v>67</v>
      </c>
      <c r="C18" s="33">
        <v>122</v>
      </c>
      <c r="D18" s="33">
        <v>285</v>
      </c>
      <c r="E18" s="33">
        <v>436</v>
      </c>
      <c r="F18" s="33">
        <v>603</v>
      </c>
      <c r="G18" s="33">
        <v>641</v>
      </c>
      <c r="H18" s="33">
        <v>675</v>
      </c>
      <c r="I18" s="33">
        <v>377</v>
      </c>
      <c r="J18" s="33">
        <v>285</v>
      </c>
      <c r="K18" s="33">
        <v>155</v>
      </c>
      <c r="L18" s="33">
        <v>46</v>
      </c>
      <c r="M18" s="33">
        <v>38</v>
      </c>
      <c r="N18" s="33">
        <f t="shared" si="0"/>
        <v>3730</v>
      </c>
      <c r="P18" s="51">
        <v>1963</v>
      </c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</row>
    <row r="19" spans="1:30" x14ac:dyDescent="0.25">
      <c r="A19" s="51">
        <v>1964</v>
      </c>
      <c r="B19" s="33">
        <v>46.055</v>
      </c>
      <c r="C19" s="33">
        <v>146.54</v>
      </c>
      <c r="D19" s="33">
        <v>276.33</v>
      </c>
      <c r="E19" s="33">
        <v>351.69</v>
      </c>
      <c r="F19" s="33">
        <v>632.21</v>
      </c>
      <c r="G19" s="33">
        <v>619.65</v>
      </c>
      <c r="H19" s="33">
        <v>561.03</v>
      </c>
      <c r="I19" s="33">
        <v>410.31</v>
      </c>
      <c r="J19" s="33">
        <v>301.45</v>
      </c>
      <c r="K19" s="33">
        <v>146.54</v>
      </c>
      <c r="L19" s="33">
        <v>54.427999999999997</v>
      </c>
      <c r="M19" s="33">
        <v>29.308</v>
      </c>
      <c r="N19" s="33">
        <f t="shared" si="0"/>
        <v>3575.5409999999997</v>
      </c>
      <c r="P19" s="51">
        <v>1964</v>
      </c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17"/>
    </row>
    <row r="20" spans="1:30" x14ac:dyDescent="0.25">
      <c r="A20" s="51">
        <v>1965</v>
      </c>
      <c r="B20" s="33">
        <v>38</v>
      </c>
      <c r="C20" s="33">
        <v>126</v>
      </c>
      <c r="D20" s="33">
        <v>277</v>
      </c>
      <c r="E20" s="33">
        <v>356</v>
      </c>
      <c r="F20" s="33">
        <v>591</v>
      </c>
      <c r="G20" s="33">
        <v>561</v>
      </c>
      <c r="H20" s="33">
        <v>461</v>
      </c>
      <c r="I20" s="33">
        <v>398</v>
      </c>
      <c r="J20" s="33">
        <v>264</v>
      </c>
      <c r="K20" s="33">
        <v>117</v>
      </c>
      <c r="L20" s="33">
        <v>59</v>
      </c>
      <c r="M20" s="33">
        <v>29.308</v>
      </c>
      <c r="N20" s="33">
        <f t="shared" si="0"/>
        <v>3277.308</v>
      </c>
      <c r="P20" s="51">
        <v>1965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17"/>
    </row>
    <row r="21" spans="1:30" x14ac:dyDescent="0.25">
      <c r="A21" s="51">
        <v>1966</v>
      </c>
      <c r="B21" s="34">
        <v>41.868000000000002</v>
      </c>
      <c r="C21" s="34">
        <v>96.296000000000006</v>
      </c>
      <c r="D21" s="34">
        <v>167.47</v>
      </c>
      <c r="E21" s="34">
        <v>305.64</v>
      </c>
      <c r="F21" s="33">
        <v>439.61</v>
      </c>
      <c r="G21" s="34">
        <v>623.83000000000004</v>
      </c>
      <c r="H21" s="34">
        <v>535.91</v>
      </c>
      <c r="I21" s="34">
        <v>439.61</v>
      </c>
      <c r="J21" s="34">
        <v>213.53</v>
      </c>
      <c r="K21" s="34">
        <v>154.91</v>
      </c>
      <c r="L21" s="34">
        <v>46.055</v>
      </c>
      <c r="M21" s="34">
        <v>25.120999999999999</v>
      </c>
      <c r="N21" s="33">
        <f t="shared" si="0"/>
        <v>3089.85</v>
      </c>
      <c r="P21" s="51">
        <v>1966</v>
      </c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17"/>
    </row>
    <row r="22" spans="1:30" x14ac:dyDescent="0.25">
      <c r="A22" s="51">
        <v>1967</v>
      </c>
      <c r="B22" s="34">
        <v>50.241999999999997</v>
      </c>
      <c r="C22" s="34">
        <v>66.989000000000004</v>
      </c>
      <c r="D22" s="34">
        <v>196.78</v>
      </c>
      <c r="E22" s="34">
        <v>318.2</v>
      </c>
      <c r="F22" s="34">
        <v>489.86</v>
      </c>
      <c r="G22" s="34">
        <v>552.66</v>
      </c>
      <c r="H22" s="34">
        <v>602.9</v>
      </c>
      <c r="I22" s="34">
        <v>393.56</v>
      </c>
      <c r="J22" s="34">
        <v>263.77</v>
      </c>
      <c r="K22" s="34">
        <v>125.6</v>
      </c>
      <c r="L22" s="34">
        <v>46.055</v>
      </c>
      <c r="M22" s="34">
        <v>33.494</v>
      </c>
      <c r="N22" s="33">
        <f t="shared" si="0"/>
        <v>3140.1099999999997</v>
      </c>
      <c r="P22" s="51">
        <v>1967</v>
      </c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17"/>
    </row>
    <row r="23" spans="1:30" x14ac:dyDescent="0.25">
      <c r="A23" s="51">
        <v>1968</v>
      </c>
      <c r="B23" s="34">
        <v>46.055</v>
      </c>
      <c r="C23" s="34">
        <v>117.23</v>
      </c>
      <c r="D23" s="34">
        <v>205.15</v>
      </c>
      <c r="E23" s="34">
        <v>443.8</v>
      </c>
      <c r="F23" s="34">
        <v>460.55</v>
      </c>
      <c r="G23" s="34">
        <v>665.7</v>
      </c>
      <c r="H23" s="34">
        <v>669.89</v>
      </c>
      <c r="I23" s="34">
        <v>531.72</v>
      </c>
      <c r="J23" s="34">
        <v>314.01</v>
      </c>
      <c r="K23" s="34">
        <v>117.23</v>
      </c>
      <c r="L23" s="34">
        <v>62.802</v>
      </c>
      <c r="M23" s="34">
        <v>29.308</v>
      </c>
      <c r="N23" s="33">
        <f t="shared" si="0"/>
        <v>3663.4450000000006</v>
      </c>
      <c r="P23" s="51">
        <v>1968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17"/>
    </row>
    <row r="24" spans="1:30" x14ac:dyDescent="0.25">
      <c r="A24" s="51">
        <v>1969</v>
      </c>
      <c r="B24" s="34">
        <v>50.241999999999997</v>
      </c>
      <c r="C24" s="34">
        <v>113.04</v>
      </c>
      <c r="D24" s="34">
        <v>330.76</v>
      </c>
      <c r="E24" s="34">
        <v>309.82</v>
      </c>
      <c r="F24" s="34">
        <v>523.35</v>
      </c>
      <c r="G24" s="34">
        <v>682.45</v>
      </c>
      <c r="H24" s="34">
        <v>628.02</v>
      </c>
      <c r="I24" s="34">
        <v>473.11</v>
      </c>
      <c r="J24" s="34">
        <v>276.33</v>
      </c>
      <c r="K24" s="34">
        <v>125.6</v>
      </c>
      <c r="L24" s="34">
        <v>41.868000000000002</v>
      </c>
      <c r="M24" s="34">
        <v>33.494</v>
      </c>
      <c r="N24" s="33">
        <f t="shared" si="0"/>
        <v>3588.0839999999998</v>
      </c>
      <c r="P24" s="51">
        <v>1969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17"/>
    </row>
    <row r="25" spans="1:30" x14ac:dyDescent="0.25">
      <c r="A25" s="51">
        <v>1970</v>
      </c>
      <c r="B25" s="34">
        <v>50.241999999999997</v>
      </c>
      <c r="C25" s="34">
        <v>108.86</v>
      </c>
      <c r="D25" s="34">
        <v>200.97</v>
      </c>
      <c r="E25" s="34">
        <v>293.08</v>
      </c>
      <c r="F25" s="34">
        <v>548.47</v>
      </c>
      <c r="G25" s="34">
        <v>661.51</v>
      </c>
      <c r="H25" s="34">
        <v>477.3</v>
      </c>
      <c r="I25" s="34">
        <v>473.11</v>
      </c>
      <c r="J25" s="34">
        <v>255.39</v>
      </c>
      <c r="K25" s="34">
        <v>121.42</v>
      </c>
      <c r="L25" s="34">
        <v>41.868000000000002</v>
      </c>
      <c r="M25" s="34">
        <v>29.308</v>
      </c>
      <c r="N25" s="33">
        <f t="shared" si="0"/>
        <v>3261.5280000000002</v>
      </c>
      <c r="P25" s="51">
        <v>1970</v>
      </c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17"/>
    </row>
    <row r="26" spans="1:30" x14ac:dyDescent="0.25">
      <c r="A26" s="51">
        <v>1971</v>
      </c>
      <c r="B26" s="33">
        <v>46.055</v>
      </c>
      <c r="C26" s="33">
        <v>75.361999999999995</v>
      </c>
      <c r="D26" s="34">
        <v>180.03</v>
      </c>
      <c r="E26" s="34">
        <v>368.44</v>
      </c>
      <c r="F26" s="33">
        <v>628.02</v>
      </c>
      <c r="G26" s="33">
        <v>519.16</v>
      </c>
      <c r="H26" s="33">
        <v>615.46</v>
      </c>
      <c r="I26" s="33">
        <v>414.49</v>
      </c>
      <c r="J26" s="33">
        <v>196.78</v>
      </c>
      <c r="K26" s="33">
        <v>100.48</v>
      </c>
      <c r="L26" s="33">
        <v>50.241999999999997</v>
      </c>
      <c r="M26" s="33">
        <v>25.120999999999999</v>
      </c>
      <c r="N26" s="33">
        <f t="shared" si="0"/>
        <v>3219.6400000000003</v>
      </c>
      <c r="P26" s="51">
        <v>1971</v>
      </c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17"/>
    </row>
    <row r="27" spans="1:30" x14ac:dyDescent="0.25">
      <c r="A27" s="51">
        <v>1972</v>
      </c>
      <c r="B27" s="33">
        <v>41.868000000000002</v>
      </c>
      <c r="C27" s="33">
        <v>75.361999999999995</v>
      </c>
      <c r="D27" s="33">
        <v>230.27</v>
      </c>
      <c r="E27" s="33">
        <v>322.38</v>
      </c>
      <c r="F27" s="33">
        <v>393.56</v>
      </c>
      <c r="G27" s="33">
        <v>519.16</v>
      </c>
      <c r="H27" s="33">
        <v>556.84</v>
      </c>
      <c r="I27" s="33">
        <v>339.13</v>
      </c>
      <c r="J27" s="33">
        <v>263.77</v>
      </c>
      <c r="K27" s="33">
        <v>125.6</v>
      </c>
      <c r="L27" s="33">
        <v>33.494</v>
      </c>
      <c r="M27" s="33">
        <v>29.308</v>
      </c>
      <c r="N27" s="33">
        <f t="shared" si="0"/>
        <v>2930.7420000000002</v>
      </c>
      <c r="P27" s="51">
        <v>1972</v>
      </c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17"/>
    </row>
    <row r="28" spans="1:30" x14ac:dyDescent="0.25">
      <c r="A28" s="51">
        <v>1973</v>
      </c>
      <c r="B28" s="33">
        <v>29.308</v>
      </c>
      <c r="C28" s="33">
        <v>58.615000000000002</v>
      </c>
      <c r="D28" s="33">
        <v>205.15</v>
      </c>
      <c r="E28" s="33">
        <v>318.2</v>
      </c>
      <c r="F28" s="33">
        <v>548.47</v>
      </c>
      <c r="G28" s="33">
        <v>581.97</v>
      </c>
      <c r="H28" s="33">
        <v>565.22</v>
      </c>
      <c r="I28" s="33">
        <v>506.6</v>
      </c>
      <c r="J28" s="33">
        <v>267.95999999999998</v>
      </c>
      <c r="K28" s="33">
        <v>175.85</v>
      </c>
      <c r="L28" s="33">
        <v>54.427999999999997</v>
      </c>
      <c r="M28" s="33">
        <v>29.308</v>
      </c>
      <c r="N28" s="33">
        <f t="shared" si="0"/>
        <v>3341.0789999999997</v>
      </c>
      <c r="P28" s="51">
        <v>1973</v>
      </c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17"/>
    </row>
    <row r="29" spans="1:30" x14ac:dyDescent="0.25">
      <c r="A29" s="51">
        <v>1974</v>
      </c>
      <c r="B29" s="33">
        <v>33.494</v>
      </c>
      <c r="C29" s="33">
        <v>87.923000000000002</v>
      </c>
      <c r="D29" s="33">
        <v>305.64</v>
      </c>
      <c r="E29" s="33">
        <v>439.61</v>
      </c>
      <c r="F29" s="33">
        <v>464.73</v>
      </c>
      <c r="G29" s="33">
        <v>485.67</v>
      </c>
      <c r="H29" s="33">
        <v>381</v>
      </c>
      <c r="I29" s="33">
        <v>447.99</v>
      </c>
      <c r="J29" s="33">
        <v>326.57</v>
      </c>
      <c r="K29" s="33">
        <v>50.241999999999997</v>
      </c>
      <c r="L29" s="33">
        <v>37.680999999999997</v>
      </c>
      <c r="M29" s="33">
        <v>20.934000000000001</v>
      </c>
      <c r="N29" s="33">
        <f t="shared" si="0"/>
        <v>3081.4840000000004</v>
      </c>
      <c r="P29" s="51">
        <v>1974</v>
      </c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17"/>
    </row>
    <row r="30" spans="1:30" x14ac:dyDescent="0.25">
      <c r="A30" s="51">
        <v>1975</v>
      </c>
      <c r="B30" s="33">
        <v>37.680999999999997</v>
      </c>
      <c r="C30" s="33">
        <v>108.86</v>
      </c>
      <c r="D30" s="33">
        <v>226.09</v>
      </c>
      <c r="E30" s="33">
        <v>293.08</v>
      </c>
      <c r="F30" s="33">
        <v>535.91</v>
      </c>
      <c r="G30" s="33">
        <v>573.59</v>
      </c>
      <c r="H30" s="33">
        <v>619.65</v>
      </c>
      <c r="I30" s="33">
        <v>489.86</v>
      </c>
      <c r="J30" s="33">
        <v>364.25</v>
      </c>
      <c r="K30" s="33">
        <v>142.35</v>
      </c>
      <c r="L30" s="33">
        <v>54.427999999999997</v>
      </c>
      <c r="M30" s="33">
        <v>29.308</v>
      </c>
      <c r="N30" s="33">
        <f t="shared" si="0"/>
        <v>3475.0570000000002</v>
      </c>
      <c r="P30" s="51">
        <v>1975</v>
      </c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17"/>
    </row>
    <row r="31" spans="1:30" x14ac:dyDescent="0.25">
      <c r="A31" s="51">
        <v>1976</v>
      </c>
      <c r="B31" s="33">
        <v>46.89</v>
      </c>
      <c r="C31" s="33">
        <v>118.91</v>
      </c>
      <c r="D31" s="33">
        <v>221.48</v>
      </c>
      <c r="E31" s="33">
        <v>396.91</v>
      </c>
      <c r="F31" s="33">
        <v>527.96</v>
      </c>
      <c r="G31" s="33">
        <v>590.34</v>
      </c>
      <c r="H31" s="33">
        <v>583.64</v>
      </c>
      <c r="I31" s="33">
        <v>465.99</v>
      </c>
      <c r="J31" s="33">
        <v>312.33999999999997</v>
      </c>
      <c r="K31" s="33">
        <v>141.51</v>
      </c>
      <c r="L31" s="33">
        <v>36.006</v>
      </c>
      <c r="M31" s="33">
        <v>23.027000000000001</v>
      </c>
      <c r="N31" s="33">
        <f t="shared" si="0"/>
        <v>3465.0030000000002</v>
      </c>
      <c r="P31" s="51">
        <v>1976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17"/>
    </row>
    <row r="32" spans="1:30" x14ac:dyDescent="0.25">
      <c r="A32" s="51">
        <v>1977</v>
      </c>
      <c r="B32" s="33">
        <v>32.238</v>
      </c>
      <c r="C32" s="33">
        <v>70.337999999999994</v>
      </c>
      <c r="D32" s="33">
        <v>180.87</v>
      </c>
      <c r="E32" s="33">
        <v>248.28</v>
      </c>
      <c r="F32" s="33">
        <v>525.86</v>
      </c>
      <c r="G32" s="33">
        <v>574.42999999999995</v>
      </c>
      <c r="H32" s="33">
        <v>499.49</v>
      </c>
      <c r="I32" s="33">
        <v>454.69</v>
      </c>
      <c r="J32" s="33">
        <v>236.97</v>
      </c>
      <c r="K32" s="33">
        <v>107.6</v>
      </c>
      <c r="L32" s="33">
        <v>35.168999999999997</v>
      </c>
      <c r="M32" s="33">
        <v>28.052</v>
      </c>
      <c r="N32" s="33">
        <f t="shared" si="0"/>
        <v>2993.9870000000001</v>
      </c>
      <c r="P32" s="51">
        <v>1977</v>
      </c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17"/>
    </row>
    <row r="33" spans="1:30" x14ac:dyDescent="0.25">
      <c r="A33" s="51">
        <v>1978</v>
      </c>
      <c r="B33" s="33">
        <v>40.192999999999998</v>
      </c>
      <c r="C33" s="33">
        <v>97.552000000000007</v>
      </c>
      <c r="D33" s="33">
        <v>173.33</v>
      </c>
      <c r="E33" s="33">
        <v>351.27</v>
      </c>
      <c r="F33" s="33">
        <v>590.34</v>
      </c>
      <c r="G33" s="33">
        <v>591.59</v>
      </c>
      <c r="H33" s="33">
        <v>478.55</v>
      </c>
      <c r="I33" s="33">
        <v>378.91</v>
      </c>
      <c r="J33" s="33">
        <v>206.83</v>
      </c>
      <c r="K33" s="33">
        <v>121.84</v>
      </c>
      <c r="L33" s="33">
        <v>28.052</v>
      </c>
      <c r="M33" s="33">
        <v>40.192999999999998</v>
      </c>
      <c r="N33" s="33">
        <f t="shared" si="0"/>
        <v>3098.6500000000005</v>
      </c>
      <c r="P33" s="51">
        <v>1978</v>
      </c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17"/>
    </row>
    <row r="34" spans="1:30" x14ac:dyDescent="0.25">
      <c r="A34" s="51">
        <v>1979</v>
      </c>
      <c r="B34" s="33">
        <v>54.847099999999998</v>
      </c>
      <c r="C34" s="33">
        <v>138.58000000000001</v>
      </c>
      <c r="D34" s="33">
        <v>180.03</v>
      </c>
      <c r="E34" s="33">
        <v>385.19</v>
      </c>
      <c r="F34" s="33">
        <v>581.54999999999995</v>
      </c>
      <c r="G34" s="33">
        <v>650.21</v>
      </c>
      <c r="H34" s="33">
        <v>400.68</v>
      </c>
      <c r="I34" s="33">
        <v>367.18</v>
      </c>
      <c r="J34" s="33">
        <v>278</v>
      </c>
      <c r="K34" s="33">
        <v>209.76</v>
      </c>
      <c r="L34" s="33">
        <v>48.985999999999997</v>
      </c>
      <c r="M34" s="33">
        <v>26.376999999999999</v>
      </c>
      <c r="N34" s="33">
        <f t="shared" si="0"/>
        <v>3321.3900999999992</v>
      </c>
      <c r="P34" s="51">
        <v>1979</v>
      </c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17"/>
    </row>
    <row r="35" spans="1:30" x14ac:dyDescent="0.25">
      <c r="A35" s="51">
        <v>1980</v>
      </c>
      <c r="B35" s="33">
        <v>51.83</v>
      </c>
      <c r="C35" s="33">
        <v>95.92</v>
      </c>
      <c r="D35" s="33">
        <v>322.77999999999997</v>
      </c>
      <c r="E35" s="33">
        <v>358.24</v>
      </c>
      <c r="F35" s="33">
        <v>515.49</v>
      </c>
      <c r="G35" s="33">
        <v>565.48</v>
      </c>
      <c r="H35" s="33">
        <v>420.21</v>
      </c>
      <c r="I35" s="33">
        <v>372.58</v>
      </c>
      <c r="J35" s="33">
        <v>245.94</v>
      </c>
      <c r="K35" s="33">
        <v>118.69</v>
      </c>
      <c r="L35" s="33">
        <v>59.95</v>
      </c>
      <c r="M35" s="33">
        <v>26.16</v>
      </c>
      <c r="N35" s="33">
        <f t="shared" si="0"/>
        <v>3153.2699999999995</v>
      </c>
      <c r="P35" s="51">
        <v>1980</v>
      </c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1"/>
    </row>
    <row r="36" spans="1:30" x14ac:dyDescent="0.25">
      <c r="A36" s="51">
        <v>1981</v>
      </c>
      <c r="B36" s="33">
        <v>45.49</v>
      </c>
      <c r="C36" s="33">
        <v>110.43</v>
      </c>
      <c r="D36" s="33">
        <v>216.87</v>
      </c>
      <c r="E36" s="33">
        <v>376.27</v>
      </c>
      <c r="F36" s="33">
        <v>531.02</v>
      </c>
      <c r="G36" s="33">
        <v>449.43</v>
      </c>
      <c r="H36" s="33">
        <v>454.23</v>
      </c>
      <c r="I36" s="33">
        <v>371.91</v>
      </c>
      <c r="J36" s="33">
        <v>257.02</v>
      </c>
      <c r="K36" s="33">
        <v>102.57</v>
      </c>
      <c r="L36" s="33">
        <v>43.31</v>
      </c>
      <c r="M36" s="33">
        <v>31.38</v>
      </c>
      <c r="N36" s="33">
        <f t="shared" si="0"/>
        <v>2989.93</v>
      </c>
      <c r="P36" s="51">
        <v>1981</v>
      </c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36"/>
    </row>
    <row r="37" spans="1:30" x14ac:dyDescent="0.25">
      <c r="A37" s="51">
        <v>1982</v>
      </c>
      <c r="B37" s="33">
        <v>45.53</v>
      </c>
      <c r="C37" s="33">
        <v>86.17</v>
      </c>
      <c r="D37" s="33">
        <v>248.42</v>
      </c>
      <c r="E37" s="33">
        <v>330.79</v>
      </c>
      <c r="F37" s="33">
        <v>533.44000000000005</v>
      </c>
      <c r="G37" s="33">
        <v>544.76</v>
      </c>
      <c r="H37" s="33">
        <v>667.97</v>
      </c>
      <c r="I37" s="33">
        <v>478.23</v>
      </c>
      <c r="J37" s="33">
        <v>262.08</v>
      </c>
      <c r="K37" s="33">
        <v>149.04</v>
      </c>
      <c r="L37" s="33">
        <v>49.22</v>
      </c>
      <c r="M37" s="33">
        <v>21.62</v>
      </c>
      <c r="N37" s="33">
        <f t="shared" si="0"/>
        <v>3417.2699999999995</v>
      </c>
      <c r="P37" s="51">
        <v>1982</v>
      </c>
      <c r="Q37" s="33">
        <v>67.69</v>
      </c>
      <c r="R37" s="33">
        <v>112.17</v>
      </c>
      <c r="S37" s="33">
        <v>288.08</v>
      </c>
      <c r="T37" s="33">
        <v>349.2</v>
      </c>
      <c r="U37" s="33">
        <v>537.79999999999995</v>
      </c>
      <c r="V37" s="33">
        <v>376.82</v>
      </c>
      <c r="W37" s="33">
        <v>568.05999999999995</v>
      </c>
      <c r="X37" s="33">
        <v>569.17999999999995</v>
      </c>
      <c r="Y37" s="33">
        <v>338.74</v>
      </c>
      <c r="Z37" s="33">
        <v>159.02000000000001</v>
      </c>
      <c r="AA37" s="33">
        <v>72.7</v>
      </c>
      <c r="AB37" s="33">
        <v>28.35</v>
      </c>
      <c r="AC37" s="33">
        <f t="shared" ref="AC37:AC44" si="1">SUM(Q37:AB37)</f>
        <v>3467.8099999999995</v>
      </c>
      <c r="AD37" s="36"/>
    </row>
    <row r="38" spans="1:30" x14ac:dyDescent="0.25">
      <c r="A38" s="51">
        <v>1983</v>
      </c>
      <c r="B38" s="33">
        <v>24.73</v>
      </c>
      <c r="C38" s="33">
        <v>113.69</v>
      </c>
      <c r="D38" s="33">
        <v>170.2</v>
      </c>
      <c r="E38" s="33">
        <v>310.73</v>
      </c>
      <c r="F38" s="33">
        <v>477.22</v>
      </c>
      <c r="G38" s="33">
        <v>625.38</v>
      </c>
      <c r="H38" s="33">
        <v>577.87</v>
      </c>
      <c r="I38" s="33">
        <v>505.21</v>
      </c>
      <c r="J38" s="33">
        <v>237.9</v>
      </c>
      <c r="K38" s="33">
        <v>116</v>
      </c>
      <c r="L38" s="33">
        <v>52.92</v>
      </c>
      <c r="M38" s="33">
        <v>29.78</v>
      </c>
      <c r="N38" s="33">
        <f t="shared" si="0"/>
        <v>3241.6300000000006</v>
      </c>
      <c r="P38" s="51">
        <v>1983</v>
      </c>
      <c r="Q38" s="101" t="s">
        <v>13</v>
      </c>
      <c r="R38" s="101" t="s">
        <v>13</v>
      </c>
      <c r="S38" s="101" t="s">
        <v>13</v>
      </c>
      <c r="T38" s="101" t="s">
        <v>13</v>
      </c>
      <c r="U38" s="101" t="s">
        <v>13</v>
      </c>
      <c r="V38" s="101" t="s">
        <v>13</v>
      </c>
      <c r="W38" s="33">
        <v>662.92</v>
      </c>
      <c r="X38" s="33">
        <v>588.03</v>
      </c>
      <c r="Y38" s="33">
        <v>205.14</v>
      </c>
      <c r="Z38" s="33">
        <v>108.6</v>
      </c>
      <c r="AA38" s="33">
        <v>79.510000000000005</v>
      </c>
      <c r="AB38" s="33">
        <v>37.880000000000003</v>
      </c>
      <c r="AC38" s="101">
        <f t="shared" si="1"/>
        <v>1682.0799999999997</v>
      </c>
      <c r="AD38" s="36"/>
    </row>
    <row r="39" spans="1:30" x14ac:dyDescent="0.25">
      <c r="A39" s="51">
        <v>1984</v>
      </c>
      <c r="B39" s="33">
        <v>38.14</v>
      </c>
      <c r="C39" s="33">
        <v>121.42</v>
      </c>
      <c r="D39" s="33">
        <v>284.47000000000003</v>
      </c>
      <c r="E39" s="33">
        <v>404.66</v>
      </c>
      <c r="F39" s="33">
        <v>569.83000000000004</v>
      </c>
      <c r="G39" s="33">
        <v>494.74</v>
      </c>
      <c r="H39" s="150" t="s">
        <v>13</v>
      </c>
      <c r="I39" s="33">
        <v>462.16</v>
      </c>
      <c r="J39" s="33">
        <v>209.67</v>
      </c>
      <c r="K39" s="33">
        <v>112.09</v>
      </c>
      <c r="L39" s="33">
        <v>44.46</v>
      </c>
      <c r="M39" s="33">
        <v>26.63</v>
      </c>
      <c r="N39" s="101">
        <f t="shared" si="0"/>
        <v>2768.2700000000004</v>
      </c>
      <c r="P39" s="51">
        <v>1984</v>
      </c>
      <c r="Q39" s="33">
        <v>47.77</v>
      </c>
      <c r="R39" s="33">
        <v>140.12</v>
      </c>
      <c r="S39" s="33">
        <v>305.99</v>
      </c>
      <c r="T39" s="33">
        <v>451.11</v>
      </c>
      <c r="U39" s="33">
        <v>456</v>
      </c>
      <c r="V39" s="33">
        <v>453.72</v>
      </c>
      <c r="W39" s="78">
        <v>518.51</v>
      </c>
      <c r="X39" s="33">
        <v>508.88</v>
      </c>
      <c r="Y39" s="33">
        <v>198.22</v>
      </c>
      <c r="Z39" s="33">
        <v>112.25</v>
      </c>
      <c r="AA39" s="33">
        <v>50.11</v>
      </c>
      <c r="AB39" s="33">
        <v>21.7</v>
      </c>
      <c r="AC39" s="33">
        <f t="shared" si="1"/>
        <v>3264.38</v>
      </c>
      <c r="AD39" s="36"/>
    </row>
    <row r="40" spans="1:30" x14ac:dyDescent="0.25">
      <c r="A40" s="51">
        <v>1985</v>
      </c>
      <c r="B40" s="33">
        <v>64.94</v>
      </c>
      <c r="C40" s="33">
        <v>133.61000000000001</v>
      </c>
      <c r="D40" s="33">
        <v>173.85</v>
      </c>
      <c r="E40" s="33">
        <v>310.08999999999997</v>
      </c>
      <c r="F40" s="33">
        <v>561.16</v>
      </c>
      <c r="G40" s="33">
        <v>541.32000000000005</v>
      </c>
      <c r="H40" s="33">
        <v>520.38</v>
      </c>
      <c r="I40" s="33">
        <v>391.82</v>
      </c>
      <c r="J40" s="33">
        <v>241.76</v>
      </c>
      <c r="K40" s="33">
        <v>114.26</v>
      </c>
      <c r="L40" s="33">
        <v>55.36</v>
      </c>
      <c r="M40" s="33">
        <v>25.07</v>
      </c>
      <c r="N40" s="33">
        <f t="shared" si="0"/>
        <v>3133.6200000000008</v>
      </c>
      <c r="P40" s="51">
        <v>1985</v>
      </c>
      <c r="Q40" s="33">
        <v>65.040000000000006</v>
      </c>
      <c r="R40" s="33">
        <v>155.93</v>
      </c>
      <c r="S40" s="33">
        <v>208.11</v>
      </c>
      <c r="T40" s="33">
        <v>352.54</v>
      </c>
      <c r="U40" s="33">
        <v>652.66999999999996</v>
      </c>
      <c r="V40" s="33">
        <v>532.46</v>
      </c>
      <c r="W40" s="33">
        <v>499.67</v>
      </c>
      <c r="X40" s="33">
        <v>436.51</v>
      </c>
      <c r="Y40" s="33">
        <v>247.84</v>
      </c>
      <c r="Z40" s="33">
        <v>136.19999999999999</v>
      </c>
      <c r="AA40" s="33">
        <v>60.82</v>
      </c>
      <c r="AB40" s="33">
        <v>30.69</v>
      </c>
      <c r="AC40" s="33">
        <f t="shared" si="1"/>
        <v>3378.4800000000005</v>
      </c>
      <c r="AD40" s="36"/>
    </row>
    <row r="41" spans="1:30" x14ac:dyDescent="0.25">
      <c r="A41" s="51">
        <v>1986</v>
      </c>
      <c r="B41" s="33">
        <v>43.73</v>
      </c>
      <c r="C41" s="33">
        <v>147.99</v>
      </c>
      <c r="D41" s="33">
        <v>230.68</v>
      </c>
      <c r="E41" s="33">
        <v>359.1</v>
      </c>
      <c r="F41" s="33">
        <v>555.98</v>
      </c>
      <c r="G41" s="33">
        <v>609.51</v>
      </c>
      <c r="H41" s="33">
        <v>522.89</v>
      </c>
      <c r="I41" s="33">
        <v>477.47</v>
      </c>
      <c r="J41" s="33">
        <v>294.64999999999998</v>
      </c>
      <c r="K41" s="33">
        <v>158.6</v>
      </c>
      <c r="L41" s="33">
        <v>58.44</v>
      </c>
      <c r="M41" s="33">
        <v>28.71</v>
      </c>
      <c r="N41" s="33">
        <f t="shared" si="0"/>
        <v>3487.7500000000005</v>
      </c>
      <c r="P41" s="51">
        <v>1986</v>
      </c>
      <c r="Q41" s="33">
        <v>61.96</v>
      </c>
      <c r="R41" s="33">
        <v>180.74</v>
      </c>
      <c r="S41" s="33">
        <v>278.82</v>
      </c>
      <c r="T41" s="33">
        <v>409.27</v>
      </c>
      <c r="U41" s="33">
        <v>618.94000000000005</v>
      </c>
      <c r="V41" s="33">
        <v>701.8</v>
      </c>
      <c r="W41" s="33">
        <v>624.02</v>
      </c>
      <c r="X41" s="33">
        <v>518.66999999999996</v>
      </c>
      <c r="Y41" s="33">
        <v>302.62</v>
      </c>
      <c r="Z41" s="33">
        <v>174.26</v>
      </c>
      <c r="AA41" s="33">
        <v>62.26</v>
      </c>
      <c r="AB41" s="33">
        <v>39.450000000000003</v>
      </c>
      <c r="AC41" s="33">
        <f t="shared" si="1"/>
        <v>3972.8099999999995</v>
      </c>
      <c r="AD41" s="36"/>
    </row>
    <row r="42" spans="1:30" x14ac:dyDescent="0.25">
      <c r="A42" s="51">
        <v>1987</v>
      </c>
      <c r="B42" s="34">
        <v>77.72</v>
      </c>
      <c r="C42" s="34">
        <v>126.56</v>
      </c>
      <c r="D42" s="34">
        <v>328.65</v>
      </c>
      <c r="E42" s="150" t="s">
        <v>13</v>
      </c>
      <c r="F42" s="101">
        <v>481.31</v>
      </c>
      <c r="G42" s="33">
        <v>415.15</v>
      </c>
      <c r="H42" s="101">
        <v>438.97</v>
      </c>
      <c r="I42" s="101">
        <v>397</v>
      </c>
      <c r="J42" s="101">
        <v>237.4</v>
      </c>
      <c r="K42" s="101">
        <v>173.99</v>
      </c>
      <c r="L42" s="101">
        <v>48.14</v>
      </c>
      <c r="M42" s="101">
        <v>22.58</v>
      </c>
      <c r="N42" s="101">
        <f t="shared" si="0"/>
        <v>2747.47</v>
      </c>
      <c r="P42" s="51">
        <v>1987</v>
      </c>
      <c r="Q42" s="33">
        <v>93</v>
      </c>
      <c r="R42" s="33">
        <v>126.96</v>
      </c>
      <c r="S42" s="33">
        <v>339.4</v>
      </c>
      <c r="T42" s="78">
        <v>374.37</v>
      </c>
      <c r="U42" s="33">
        <v>444.98</v>
      </c>
      <c r="V42" s="33">
        <v>452.75</v>
      </c>
      <c r="W42" s="33">
        <v>545.66</v>
      </c>
      <c r="X42" s="33">
        <v>396.01</v>
      </c>
      <c r="Y42" s="33">
        <v>294.63</v>
      </c>
      <c r="Z42" s="33">
        <v>190.75</v>
      </c>
      <c r="AA42" s="33">
        <v>65.42</v>
      </c>
      <c r="AB42" s="33">
        <v>32.369999999999997</v>
      </c>
      <c r="AC42" s="33">
        <f t="shared" si="1"/>
        <v>3356.3</v>
      </c>
      <c r="AD42" s="36"/>
    </row>
    <row r="43" spans="1:30" x14ac:dyDescent="0.25">
      <c r="A43" s="52">
        <v>1988</v>
      </c>
      <c r="B43" s="102">
        <v>37.15</v>
      </c>
      <c r="C43" s="102">
        <v>85.06</v>
      </c>
      <c r="D43" s="18">
        <v>260.77</v>
      </c>
      <c r="E43" s="150" t="s">
        <v>13</v>
      </c>
      <c r="F43" s="150" t="s">
        <v>13</v>
      </c>
      <c r="G43" s="18">
        <v>723.97</v>
      </c>
      <c r="H43" s="18">
        <v>681.65</v>
      </c>
      <c r="I43" s="102">
        <v>554.29</v>
      </c>
      <c r="J43" s="102">
        <v>319.60000000000002</v>
      </c>
      <c r="K43" s="102">
        <v>238.27</v>
      </c>
      <c r="L43" s="102">
        <v>103.19</v>
      </c>
      <c r="M43" s="102">
        <v>55.81</v>
      </c>
      <c r="N43" s="101">
        <f t="shared" si="0"/>
        <v>3059.7599999999998</v>
      </c>
      <c r="P43" s="52">
        <v>1988</v>
      </c>
      <c r="Q43" s="18">
        <v>55.76</v>
      </c>
      <c r="R43" s="18">
        <v>112.16</v>
      </c>
      <c r="S43" s="33">
        <v>219.46299999999999</v>
      </c>
      <c r="T43" s="78">
        <v>225.22</v>
      </c>
      <c r="U43" s="78">
        <v>663.55</v>
      </c>
      <c r="V43" s="78">
        <v>615.4</v>
      </c>
      <c r="W43" s="18">
        <v>545.44000000000005</v>
      </c>
      <c r="X43" s="18">
        <v>421.24</v>
      </c>
      <c r="Y43" s="18">
        <v>289.35000000000002</v>
      </c>
      <c r="Z43" s="18">
        <v>203.93</v>
      </c>
      <c r="AA43" s="18">
        <v>80.77</v>
      </c>
      <c r="AB43" s="102">
        <v>47.72</v>
      </c>
      <c r="AC43" s="101">
        <f t="shared" si="1"/>
        <v>3480.0029999999997</v>
      </c>
      <c r="AD43" s="37"/>
    </row>
    <row r="44" spans="1:30" x14ac:dyDescent="0.25">
      <c r="A44" s="52">
        <v>1989</v>
      </c>
      <c r="B44" s="2">
        <v>53.78</v>
      </c>
      <c r="C44" s="2">
        <v>90.33</v>
      </c>
      <c r="D44" s="2">
        <v>248.42</v>
      </c>
      <c r="E44" s="2">
        <v>434.25</v>
      </c>
      <c r="F44" s="2">
        <v>676.01</v>
      </c>
      <c r="G44" s="2">
        <v>641.14</v>
      </c>
      <c r="H44" s="2">
        <v>664.51</v>
      </c>
      <c r="I44" s="2">
        <v>487.13</v>
      </c>
      <c r="J44" s="2">
        <v>340.31</v>
      </c>
      <c r="K44" s="2">
        <v>180.36</v>
      </c>
      <c r="L44" s="2">
        <v>80.98</v>
      </c>
      <c r="M44" s="2">
        <v>59.22</v>
      </c>
      <c r="N44" s="33">
        <f t="shared" si="0"/>
        <v>3956.4399999999996</v>
      </c>
      <c r="P44" s="52">
        <v>1989</v>
      </c>
      <c r="Q44" s="2">
        <v>44.12</v>
      </c>
      <c r="R44" s="2">
        <v>112.68</v>
      </c>
      <c r="S44" s="2">
        <v>182.44</v>
      </c>
      <c r="T44" s="4">
        <v>336.1</v>
      </c>
      <c r="U44" s="2">
        <v>675.79</v>
      </c>
      <c r="V44" s="2">
        <v>571.03</v>
      </c>
      <c r="W44" s="2">
        <v>665.06</v>
      </c>
      <c r="X44" s="2">
        <v>444.17</v>
      </c>
      <c r="Y44" s="2">
        <v>363.86</v>
      </c>
      <c r="Z44" s="2">
        <v>128.96</v>
      </c>
      <c r="AA44" s="2">
        <v>65.36</v>
      </c>
      <c r="AB44" s="2">
        <v>41.21</v>
      </c>
      <c r="AC44" s="33">
        <f t="shared" si="1"/>
        <v>3630.7800000000007</v>
      </c>
      <c r="AD44" s="37"/>
    </row>
    <row r="45" spans="1:30" x14ac:dyDescent="0.25">
      <c r="A45" s="52">
        <v>1990</v>
      </c>
      <c r="B45" s="2">
        <v>63.59</v>
      </c>
      <c r="C45" s="2">
        <v>107.94</v>
      </c>
      <c r="D45" s="2">
        <v>272.64999999999998</v>
      </c>
      <c r="E45" s="2">
        <v>524.35</v>
      </c>
      <c r="F45" s="2">
        <v>623.61</v>
      </c>
      <c r="G45" s="95">
        <v>655.28</v>
      </c>
      <c r="H45" s="2">
        <v>651.65</v>
      </c>
      <c r="I45" s="95">
        <v>530.46</v>
      </c>
      <c r="J45" s="2">
        <v>300.23</v>
      </c>
      <c r="K45" s="95">
        <v>223</v>
      </c>
      <c r="L45" s="95">
        <v>55.36</v>
      </c>
      <c r="M45" s="2">
        <v>37.82</v>
      </c>
      <c r="N45" s="101">
        <f t="shared" si="0"/>
        <v>4045.9400000000005</v>
      </c>
      <c r="P45" s="52">
        <v>1990</v>
      </c>
      <c r="Q45" s="2">
        <v>40.729999999999997</v>
      </c>
      <c r="R45" s="2">
        <v>88.55</v>
      </c>
      <c r="S45" s="2">
        <v>239.27</v>
      </c>
      <c r="T45" s="2">
        <v>470.14</v>
      </c>
      <c r="U45" s="2">
        <v>614.86</v>
      </c>
      <c r="V45" s="2">
        <v>585.30999999999995</v>
      </c>
      <c r="W45" s="2">
        <v>380.54</v>
      </c>
      <c r="X45" s="2">
        <v>424.14</v>
      </c>
      <c r="Y45" s="2">
        <v>194.96</v>
      </c>
      <c r="Z45" s="2">
        <v>160.37</v>
      </c>
      <c r="AA45" s="2">
        <v>53.14</v>
      </c>
      <c r="AB45" s="2">
        <v>39.96</v>
      </c>
      <c r="AC45" s="33">
        <f t="shared" ref="AC45" si="2">SUM(Q45:AB45)</f>
        <v>3291.97</v>
      </c>
      <c r="AD45" s="37"/>
    </row>
    <row r="46" spans="1:30" x14ac:dyDescent="0.25">
      <c r="A46" s="52">
        <v>1991</v>
      </c>
      <c r="B46" s="106">
        <v>55.87</v>
      </c>
      <c r="C46" s="106">
        <v>103.44</v>
      </c>
      <c r="D46" s="106">
        <v>214.89</v>
      </c>
      <c r="E46" s="106">
        <v>398.81</v>
      </c>
      <c r="F46" s="107">
        <v>91.06</v>
      </c>
      <c r="G46" s="107" t="s">
        <v>13</v>
      </c>
      <c r="H46" s="106">
        <v>803.7</v>
      </c>
      <c r="I46" s="106">
        <v>642.99</v>
      </c>
      <c r="J46" s="106">
        <v>372.98</v>
      </c>
      <c r="K46" s="106">
        <v>229.67</v>
      </c>
      <c r="L46" s="106">
        <v>75.92</v>
      </c>
      <c r="M46" s="106">
        <v>56.49</v>
      </c>
      <c r="N46" s="101">
        <f t="shared" si="0"/>
        <v>3045.82</v>
      </c>
      <c r="P46" s="52">
        <v>1991</v>
      </c>
      <c r="Q46" s="103">
        <v>58.63</v>
      </c>
      <c r="R46" s="103">
        <v>121.26</v>
      </c>
      <c r="S46" s="103">
        <v>229.3</v>
      </c>
      <c r="T46" s="103">
        <v>381.89</v>
      </c>
      <c r="U46" s="103">
        <v>585.21</v>
      </c>
      <c r="V46" s="103">
        <v>550.76</v>
      </c>
      <c r="W46" s="103">
        <v>666.66</v>
      </c>
      <c r="X46" s="103">
        <v>489.64</v>
      </c>
      <c r="Y46" s="103">
        <v>309.72000000000003</v>
      </c>
      <c r="Z46" s="103">
        <v>170.58</v>
      </c>
      <c r="AA46" s="103">
        <v>53.93</v>
      </c>
      <c r="AB46" s="103">
        <v>34.159999999999997</v>
      </c>
      <c r="AC46" s="33">
        <f>SUM(Q46:AB46)</f>
        <v>3651.7399999999993</v>
      </c>
    </row>
    <row r="47" spans="1:30" x14ac:dyDescent="0.25">
      <c r="A47" s="52">
        <v>1992</v>
      </c>
      <c r="B47" s="107">
        <v>77.87</v>
      </c>
      <c r="C47" s="106">
        <v>115.79</v>
      </c>
      <c r="D47" s="106">
        <v>295.88</v>
      </c>
      <c r="E47" s="106">
        <v>459.29</v>
      </c>
      <c r="F47" s="107" t="s">
        <v>13</v>
      </c>
      <c r="G47" s="107" t="s">
        <v>13</v>
      </c>
      <c r="H47" s="107" t="s">
        <v>13</v>
      </c>
      <c r="I47" s="106">
        <v>630.94000000000005</v>
      </c>
      <c r="J47" s="106">
        <v>332.5</v>
      </c>
      <c r="K47" s="106">
        <v>234.13</v>
      </c>
      <c r="L47" s="106">
        <v>78.56</v>
      </c>
      <c r="M47" s="151">
        <v>58.86</v>
      </c>
      <c r="N47" s="101">
        <f t="shared" si="0"/>
        <v>2283.8200000000002</v>
      </c>
      <c r="P47" s="52">
        <v>1992</v>
      </c>
      <c r="Q47" s="103">
        <v>58.48</v>
      </c>
      <c r="R47" s="103">
        <v>94.56</v>
      </c>
      <c r="S47" s="103">
        <v>209.58</v>
      </c>
      <c r="T47" s="103">
        <v>292.13</v>
      </c>
      <c r="U47" s="103">
        <v>575.83000000000004</v>
      </c>
      <c r="V47" s="103">
        <v>676.38</v>
      </c>
      <c r="W47" s="103">
        <v>626.41999999999996</v>
      </c>
      <c r="X47" s="103">
        <v>460.56</v>
      </c>
      <c r="Y47" s="103">
        <v>224.94</v>
      </c>
      <c r="Z47" s="103">
        <v>160.29</v>
      </c>
      <c r="AA47" s="103">
        <v>56.62</v>
      </c>
      <c r="AB47" s="103">
        <v>43.44</v>
      </c>
      <c r="AC47" s="33">
        <f t="shared" ref="AC47:AC77" si="3">SUM(Q47:AB47)</f>
        <v>3479.23</v>
      </c>
    </row>
    <row r="48" spans="1:30" x14ac:dyDescent="0.25">
      <c r="A48" s="52">
        <v>1993</v>
      </c>
      <c r="B48" s="106">
        <v>89.62</v>
      </c>
      <c r="C48" s="106">
        <v>130.69</v>
      </c>
      <c r="D48" s="106">
        <v>259.01</v>
      </c>
      <c r="E48" s="106">
        <v>453.35</v>
      </c>
      <c r="F48" s="106">
        <v>714.26</v>
      </c>
      <c r="G48" s="106">
        <v>627.29999999999995</v>
      </c>
      <c r="H48" s="106">
        <v>436.85</v>
      </c>
      <c r="I48" s="106">
        <v>449.03</v>
      </c>
      <c r="J48" s="106">
        <v>281.18</v>
      </c>
      <c r="K48" s="106">
        <v>137.18</v>
      </c>
      <c r="L48" s="106">
        <v>73.87</v>
      </c>
      <c r="M48" s="107">
        <v>30.73</v>
      </c>
      <c r="N48" s="101">
        <f t="shared" si="0"/>
        <v>3683.0699999999993</v>
      </c>
      <c r="P48" s="52">
        <v>1993</v>
      </c>
      <c r="Q48" s="103">
        <v>55.34</v>
      </c>
      <c r="R48" s="103">
        <v>115.78</v>
      </c>
      <c r="S48" s="103">
        <v>242.58</v>
      </c>
      <c r="T48" s="103">
        <v>413.12</v>
      </c>
      <c r="U48" s="103">
        <v>663.74</v>
      </c>
      <c r="V48" s="103">
        <v>570.44000000000005</v>
      </c>
      <c r="W48" s="103">
        <v>426.68</v>
      </c>
      <c r="X48" s="103">
        <v>397.95</v>
      </c>
      <c r="Y48" s="103">
        <v>256.56</v>
      </c>
      <c r="Z48" s="103">
        <v>181.16</v>
      </c>
      <c r="AA48" s="103">
        <v>74.89</v>
      </c>
      <c r="AB48" s="103">
        <v>24.43</v>
      </c>
      <c r="AC48" s="33">
        <f t="shared" si="3"/>
        <v>3422.6699999999992</v>
      </c>
    </row>
    <row r="49" spans="1:30" x14ac:dyDescent="0.25">
      <c r="A49" s="52">
        <v>1994</v>
      </c>
      <c r="B49" s="106">
        <v>42.72</v>
      </c>
      <c r="C49" s="106">
        <v>132.79</v>
      </c>
      <c r="D49" s="106">
        <v>259.8</v>
      </c>
      <c r="E49" s="106">
        <v>374.4</v>
      </c>
      <c r="F49" s="106">
        <v>643.91</v>
      </c>
      <c r="G49" s="106">
        <v>820.07</v>
      </c>
      <c r="H49" s="106">
        <v>971.48</v>
      </c>
      <c r="I49" s="107">
        <v>580.58000000000004</v>
      </c>
      <c r="J49" s="106">
        <v>319.52999999999997</v>
      </c>
      <c r="K49" s="106">
        <v>197.96</v>
      </c>
      <c r="L49" s="107">
        <v>51.98</v>
      </c>
      <c r="M49" s="107">
        <v>52.45</v>
      </c>
      <c r="N49" s="101">
        <f t="shared" si="0"/>
        <v>4447.6699999999992</v>
      </c>
      <c r="P49" s="52">
        <v>1994</v>
      </c>
      <c r="Q49" s="103">
        <v>44.95</v>
      </c>
      <c r="R49" s="104">
        <v>118.18</v>
      </c>
      <c r="S49" s="103">
        <v>209.79</v>
      </c>
      <c r="T49" s="103">
        <v>295.79000000000002</v>
      </c>
      <c r="U49" s="103">
        <v>514.48</v>
      </c>
      <c r="V49" s="103">
        <v>592.23</v>
      </c>
      <c r="W49" s="103">
        <v>708.3</v>
      </c>
      <c r="X49" s="103">
        <v>438.48</v>
      </c>
      <c r="Y49" s="103">
        <v>226.11</v>
      </c>
      <c r="Z49" s="103">
        <v>140.61000000000001</v>
      </c>
      <c r="AA49" s="103">
        <v>64.19</v>
      </c>
      <c r="AB49" s="103">
        <v>31.25</v>
      </c>
      <c r="AC49" s="101">
        <f t="shared" si="3"/>
        <v>3384.3600000000006</v>
      </c>
      <c r="AD49" s="23"/>
    </row>
    <row r="50" spans="1:30" x14ac:dyDescent="0.25">
      <c r="A50" s="52">
        <v>1995</v>
      </c>
      <c r="B50" s="106">
        <v>94.01</v>
      </c>
      <c r="C50" s="107" t="s">
        <v>13</v>
      </c>
      <c r="D50" s="106">
        <v>305.41000000000003</v>
      </c>
      <c r="E50" s="107">
        <v>484.75</v>
      </c>
      <c r="F50" s="107">
        <v>582.28</v>
      </c>
      <c r="G50" s="107">
        <v>193.38</v>
      </c>
      <c r="H50" s="107">
        <v>396.89</v>
      </c>
      <c r="I50" s="107" t="s">
        <v>13</v>
      </c>
      <c r="J50" s="107">
        <v>262.54000000000002</v>
      </c>
      <c r="K50" s="106">
        <v>196.11</v>
      </c>
      <c r="L50" s="106">
        <v>83.28</v>
      </c>
      <c r="M50" s="106">
        <v>58.82</v>
      </c>
      <c r="N50" s="101">
        <f t="shared" si="0"/>
        <v>2657.4700000000003</v>
      </c>
      <c r="P50" s="52">
        <v>1995</v>
      </c>
      <c r="Q50" s="104">
        <v>25.42</v>
      </c>
      <c r="R50" s="103">
        <v>86.82</v>
      </c>
      <c r="S50" s="103">
        <v>160.37</v>
      </c>
      <c r="T50" s="103">
        <v>342.36</v>
      </c>
      <c r="U50" s="103">
        <v>427.42</v>
      </c>
      <c r="V50" s="103">
        <v>494.14</v>
      </c>
      <c r="W50" s="103">
        <v>652.98</v>
      </c>
      <c r="X50" s="103">
        <v>519.07000000000005</v>
      </c>
      <c r="Y50" s="103">
        <v>239.47</v>
      </c>
      <c r="Z50" s="103">
        <v>165.64</v>
      </c>
      <c r="AA50" s="103">
        <v>59.09</v>
      </c>
      <c r="AB50" s="103">
        <v>47.7</v>
      </c>
      <c r="AC50" s="101">
        <f t="shared" si="3"/>
        <v>3220.48</v>
      </c>
    </row>
    <row r="51" spans="1:30" x14ac:dyDescent="0.25">
      <c r="A51" s="52">
        <v>1996</v>
      </c>
      <c r="B51" s="106">
        <v>88.12</v>
      </c>
      <c r="C51" s="106">
        <v>185.6</v>
      </c>
      <c r="D51" s="106">
        <v>412.99</v>
      </c>
      <c r="E51" s="106">
        <v>537.08000000000004</v>
      </c>
      <c r="F51" s="107">
        <v>509.06</v>
      </c>
      <c r="G51" s="106">
        <v>615.33000000000004</v>
      </c>
      <c r="H51" s="106">
        <v>543.83000000000004</v>
      </c>
      <c r="I51" s="106">
        <v>512.19000000000005</v>
      </c>
      <c r="J51" s="106">
        <v>295.37</v>
      </c>
      <c r="K51" s="106">
        <v>142.43</v>
      </c>
      <c r="L51" s="106">
        <v>39.15</v>
      </c>
      <c r="M51" s="107">
        <v>43.72</v>
      </c>
      <c r="N51" s="101">
        <f t="shared" si="0"/>
        <v>3924.8699999999994</v>
      </c>
      <c r="P51" s="52">
        <v>1996</v>
      </c>
      <c r="Q51" s="103">
        <v>70.099999999999994</v>
      </c>
      <c r="R51" s="103">
        <v>144.4</v>
      </c>
      <c r="S51" s="103">
        <v>348.72</v>
      </c>
      <c r="T51" s="104">
        <v>424.97</v>
      </c>
      <c r="U51" s="103">
        <v>456.14</v>
      </c>
      <c r="V51" s="103">
        <v>509.75</v>
      </c>
      <c r="W51" s="103">
        <v>471.57</v>
      </c>
      <c r="X51" s="103">
        <v>510.22</v>
      </c>
      <c r="Y51" s="103">
        <v>220.13</v>
      </c>
      <c r="Z51" s="103">
        <v>132.05000000000001</v>
      </c>
      <c r="AA51" s="103">
        <v>53.23</v>
      </c>
      <c r="AB51" s="103">
        <v>41.96</v>
      </c>
      <c r="AC51" s="101">
        <f t="shared" si="3"/>
        <v>3383.2400000000002</v>
      </c>
    </row>
    <row r="52" spans="1:30" x14ac:dyDescent="0.25">
      <c r="A52" s="52">
        <v>1997</v>
      </c>
      <c r="B52" s="107">
        <v>62.71</v>
      </c>
      <c r="C52" s="106">
        <v>86.87</v>
      </c>
      <c r="D52" s="106">
        <v>256.08</v>
      </c>
      <c r="E52" s="106">
        <v>335.89</v>
      </c>
      <c r="F52" s="106">
        <v>506.37</v>
      </c>
      <c r="G52" s="107">
        <v>280.25</v>
      </c>
      <c r="H52" s="106">
        <v>568.54999999999995</v>
      </c>
      <c r="I52" s="106">
        <v>549.59</v>
      </c>
      <c r="J52" s="106">
        <v>279.14</v>
      </c>
      <c r="K52" s="107">
        <v>62.89</v>
      </c>
      <c r="L52" s="107">
        <v>24.69</v>
      </c>
      <c r="M52" s="107">
        <v>28.84</v>
      </c>
      <c r="N52" s="101">
        <f t="shared" si="0"/>
        <v>3041.8700000000003</v>
      </c>
      <c r="P52" s="52">
        <v>1997</v>
      </c>
      <c r="Q52" s="103">
        <v>57.97</v>
      </c>
      <c r="R52" s="103">
        <v>78.900000000000006</v>
      </c>
      <c r="S52" s="103">
        <v>242.33</v>
      </c>
      <c r="T52" s="103">
        <v>353.35</v>
      </c>
      <c r="U52" s="103">
        <v>467.98</v>
      </c>
      <c r="V52" s="103">
        <v>453.89</v>
      </c>
      <c r="W52" s="103">
        <v>520</v>
      </c>
      <c r="X52" s="103">
        <v>554.37</v>
      </c>
      <c r="Y52" s="103">
        <v>296.81</v>
      </c>
      <c r="Z52" s="103">
        <v>117.82</v>
      </c>
      <c r="AA52" s="103">
        <v>42.74</v>
      </c>
      <c r="AB52" s="103">
        <v>40.26</v>
      </c>
      <c r="AC52" s="33">
        <f t="shared" si="3"/>
        <v>3226.42</v>
      </c>
    </row>
    <row r="53" spans="1:30" x14ac:dyDescent="0.25">
      <c r="A53" s="52">
        <v>1998</v>
      </c>
      <c r="B53" s="152">
        <v>49.41</v>
      </c>
      <c r="C53" s="106">
        <v>77.239999999999995</v>
      </c>
      <c r="D53" s="106">
        <v>238.36</v>
      </c>
      <c r="E53" s="106">
        <v>318.07</v>
      </c>
      <c r="F53" s="107">
        <v>463.68</v>
      </c>
      <c r="G53" s="106">
        <v>330.95</v>
      </c>
      <c r="H53" s="107">
        <v>356.99</v>
      </c>
      <c r="I53" s="107">
        <v>247.17</v>
      </c>
      <c r="J53" s="106">
        <v>279.54000000000002</v>
      </c>
      <c r="K53" s="106">
        <v>131.63</v>
      </c>
      <c r="L53" s="107">
        <v>70.55</v>
      </c>
      <c r="M53" s="106">
        <v>39.43</v>
      </c>
      <c r="N53" s="101">
        <f t="shared" si="0"/>
        <v>2603.02</v>
      </c>
      <c r="P53" s="52">
        <v>1998</v>
      </c>
      <c r="Q53" s="103">
        <v>54.43</v>
      </c>
      <c r="R53" s="103">
        <v>80.88</v>
      </c>
      <c r="S53" s="103">
        <v>304.23</v>
      </c>
      <c r="T53" s="103">
        <v>313.93</v>
      </c>
      <c r="U53" s="103">
        <v>492.15</v>
      </c>
      <c r="V53" s="103">
        <v>431.23</v>
      </c>
      <c r="W53" s="103">
        <v>379.87</v>
      </c>
      <c r="X53" s="103">
        <v>335.03</v>
      </c>
      <c r="Y53" s="103">
        <v>263.56</v>
      </c>
      <c r="Z53" s="103">
        <v>133.13999999999999</v>
      </c>
      <c r="AA53" s="103">
        <v>69.099999999999994</v>
      </c>
      <c r="AB53" s="103">
        <v>44.47</v>
      </c>
      <c r="AC53" s="33">
        <f t="shared" si="3"/>
        <v>2902.0199999999995</v>
      </c>
    </row>
    <row r="54" spans="1:30" x14ac:dyDescent="0.25">
      <c r="A54" s="52">
        <v>1999</v>
      </c>
      <c r="B54" s="106">
        <v>45.85</v>
      </c>
      <c r="C54" s="106">
        <v>93.73</v>
      </c>
      <c r="D54" s="107">
        <v>169.35</v>
      </c>
      <c r="E54" s="106">
        <v>194.96</v>
      </c>
      <c r="F54" s="106">
        <v>517.30999999999995</v>
      </c>
      <c r="G54" s="107">
        <v>440.24</v>
      </c>
      <c r="H54" s="106">
        <v>634.69000000000005</v>
      </c>
      <c r="I54" s="107">
        <v>372.66</v>
      </c>
      <c r="J54" s="106">
        <v>254.92</v>
      </c>
      <c r="K54" s="106">
        <v>120.76</v>
      </c>
      <c r="L54" s="106">
        <v>53.38</v>
      </c>
      <c r="M54" s="107">
        <v>24.41</v>
      </c>
      <c r="N54" s="101">
        <f t="shared" si="0"/>
        <v>2922.26</v>
      </c>
      <c r="P54" s="52">
        <v>1999</v>
      </c>
      <c r="Q54" s="105">
        <v>51.8</v>
      </c>
      <c r="R54" s="105">
        <v>110.64</v>
      </c>
      <c r="S54" s="105">
        <v>246.65</v>
      </c>
      <c r="T54" s="105">
        <v>284.3</v>
      </c>
      <c r="U54" s="105">
        <v>527.04999999999995</v>
      </c>
      <c r="V54" s="105">
        <v>538.51</v>
      </c>
      <c r="W54" s="105">
        <v>580.87</v>
      </c>
      <c r="X54" s="105">
        <v>391.83</v>
      </c>
      <c r="Y54" s="105">
        <v>299.98</v>
      </c>
      <c r="Z54" s="105">
        <v>121.97</v>
      </c>
      <c r="AA54" s="105">
        <v>60.44</v>
      </c>
      <c r="AB54" s="105">
        <v>41.7</v>
      </c>
      <c r="AC54" s="33">
        <f t="shared" si="3"/>
        <v>3255.74</v>
      </c>
    </row>
    <row r="55" spans="1:30" x14ac:dyDescent="0.25">
      <c r="A55" s="52">
        <v>2000</v>
      </c>
      <c r="B55" s="107">
        <v>22.2</v>
      </c>
      <c r="C55" s="107">
        <v>57.82</v>
      </c>
      <c r="D55" s="106">
        <v>187.75</v>
      </c>
      <c r="E55" s="106">
        <v>385.53</v>
      </c>
      <c r="F55" s="107">
        <v>600.6</v>
      </c>
      <c r="G55" s="107">
        <v>574.13</v>
      </c>
      <c r="H55" s="106">
        <v>476.95</v>
      </c>
      <c r="I55" s="106">
        <v>415.9</v>
      </c>
      <c r="J55" s="106">
        <v>348.4</v>
      </c>
      <c r="K55" s="106">
        <v>149.35</v>
      </c>
      <c r="L55" s="106">
        <v>41.33</v>
      </c>
      <c r="M55" s="106">
        <v>24.62</v>
      </c>
      <c r="N55" s="101">
        <f t="shared" si="0"/>
        <v>3284.58</v>
      </c>
      <c r="P55" s="52">
        <v>2000</v>
      </c>
      <c r="Q55" s="103">
        <v>54.89</v>
      </c>
      <c r="R55" s="103">
        <v>108.6</v>
      </c>
      <c r="S55" s="103">
        <v>230.41</v>
      </c>
      <c r="T55" s="103">
        <v>438.18</v>
      </c>
      <c r="U55" s="103">
        <v>629.48</v>
      </c>
      <c r="V55" s="103">
        <v>550.96</v>
      </c>
      <c r="W55" s="103">
        <v>441.01</v>
      </c>
      <c r="X55" s="103">
        <v>417.22</v>
      </c>
      <c r="Y55" s="103">
        <v>309.16000000000003</v>
      </c>
      <c r="Z55" s="103">
        <v>192.88</v>
      </c>
      <c r="AA55" s="103">
        <v>42.86</v>
      </c>
      <c r="AB55" s="103">
        <v>24.54</v>
      </c>
      <c r="AC55" s="33">
        <f t="shared" si="3"/>
        <v>3440.19</v>
      </c>
    </row>
    <row r="56" spans="1:30" x14ac:dyDescent="0.25">
      <c r="A56" s="52">
        <v>2001</v>
      </c>
      <c r="B56" s="106">
        <v>42.35</v>
      </c>
      <c r="C56" s="106">
        <v>117.46</v>
      </c>
      <c r="D56" s="106">
        <v>240.6</v>
      </c>
      <c r="E56" s="106">
        <v>252.8</v>
      </c>
      <c r="F56" s="106">
        <v>656.79</v>
      </c>
      <c r="G56" s="106">
        <v>562.21</v>
      </c>
      <c r="H56" s="106">
        <v>634.16</v>
      </c>
      <c r="I56" s="106">
        <v>484.8</v>
      </c>
      <c r="J56" s="107">
        <v>179.52</v>
      </c>
      <c r="K56" s="106">
        <v>158.04</v>
      </c>
      <c r="L56" s="106">
        <v>77.709999999999994</v>
      </c>
      <c r="M56" s="107">
        <v>43.99</v>
      </c>
      <c r="N56" s="101">
        <f t="shared" si="0"/>
        <v>3450.43</v>
      </c>
      <c r="P56" s="52">
        <v>2001</v>
      </c>
      <c r="Q56" s="103">
        <v>39.729999999999997</v>
      </c>
      <c r="R56" s="103">
        <v>115.14</v>
      </c>
      <c r="S56" s="103">
        <v>284.27999999999997</v>
      </c>
      <c r="T56" s="103">
        <v>288.82</v>
      </c>
      <c r="U56" s="103">
        <v>556.94000000000005</v>
      </c>
      <c r="V56" s="103">
        <v>494.13</v>
      </c>
      <c r="W56" s="103">
        <v>495.08</v>
      </c>
      <c r="X56" s="103">
        <v>399.81</v>
      </c>
      <c r="Y56" s="103">
        <v>225.38</v>
      </c>
      <c r="Z56" s="103">
        <v>131.38</v>
      </c>
      <c r="AA56" s="103">
        <v>65.069999999999993</v>
      </c>
      <c r="AB56" s="103">
        <v>50.7</v>
      </c>
      <c r="AC56" s="33">
        <f t="shared" si="3"/>
        <v>3146.46</v>
      </c>
    </row>
    <row r="57" spans="1:30" x14ac:dyDescent="0.25">
      <c r="A57" s="52">
        <v>2002</v>
      </c>
      <c r="B57" s="106">
        <v>46.16</v>
      </c>
      <c r="C57" s="106">
        <v>102.37</v>
      </c>
      <c r="D57" s="106">
        <v>229.13</v>
      </c>
      <c r="E57" s="107">
        <v>328.43</v>
      </c>
      <c r="F57" s="107">
        <v>518.26</v>
      </c>
      <c r="G57" s="106">
        <v>528.67999999999995</v>
      </c>
      <c r="H57" s="106">
        <v>589.23</v>
      </c>
      <c r="I57" s="106">
        <v>609.25</v>
      </c>
      <c r="J57" s="106">
        <v>352.21</v>
      </c>
      <c r="K57" s="106">
        <v>111.93</v>
      </c>
      <c r="L57" s="106">
        <v>54.95</v>
      </c>
      <c r="M57" s="106">
        <v>52.79</v>
      </c>
      <c r="N57" s="101">
        <f t="shared" si="0"/>
        <v>3523.3899999999994</v>
      </c>
      <c r="P57" s="52">
        <v>2002</v>
      </c>
      <c r="Q57" s="103">
        <v>42.95</v>
      </c>
      <c r="R57" s="103">
        <v>114.23</v>
      </c>
      <c r="S57" s="103">
        <v>276.79000000000002</v>
      </c>
      <c r="T57" s="103">
        <v>442.85</v>
      </c>
      <c r="U57" s="103">
        <v>671.48</v>
      </c>
      <c r="V57" s="103">
        <v>629.72</v>
      </c>
      <c r="W57" s="103">
        <v>636.29</v>
      </c>
      <c r="X57" s="103">
        <v>573.98</v>
      </c>
      <c r="Y57" s="103">
        <v>346.93</v>
      </c>
      <c r="Z57" s="103">
        <v>100.05</v>
      </c>
      <c r="AA57" s="103">
        <v>55.1</v>
      </c>
      <c r="AB57" s="103">
        <v>62.2</v>
      </c>
      <c r="AC57" s="33">
        <f t="shared" si="3"/>
        <v>3952.57</v>
      </c>
    </row>
    <row r="58" spans="1:30" x14ac:dyDescent="0.25">
      <c r="A58" s="52">
        <v>2003</v>
      </c>
      <c r="B58" s="107">
        <v>43.49</v>
      </c>
      <c r="C58" s="106">
        <v>127.76</v>
      </c>
      <c r="D58" s="106">
        <v>288.64999999999998</v>
      </c>
      <c r="E58" s="106">
        <v>435.8</v>
      </c>
      <c r="F58" s="106">
        <v>623.1</v>
      </c>
      <c r="G58" s="106">
        <v>648.39</v>
      </c>
      <c r="H58" s="106">
        <v>647.33000000000004</v>
      </c>
      <c r="I58" s="106">
        <v>501.06</v>
      </c>
      <c r="J58" s="106">
        <v>392</v>
      </c>
      <c r="K58" s="106">
        <v>167.92830000000001</v>
      </c>
      <c r="L58" s="106">
        <v>52.18</v>
      </c>
      <c r="M58" s="106">
        <v>39.979999999999997</v>
      </c>
      <c r="N58" s="101">
        <f t="shared" si="0"/>
        <v>3967.6682999999998</v>
      </c>
      <c r="P58" s="52">
        <v>2003</v>
      </c>
      <c r="Q58" s="103">
        <v>56.56</v>
      </c>
      <c r="R58" s="103">
        <v>129.6</v>
      </c>
      <c r="S58" s="103">
        <v>310.45</v>
      </c>
      <c r="T58" s="103">
        <v>429.26</v>
      </c>
      <c r="U58" s="103">
        <v>518.54</v>
      </c>
      <c r="V58" s="103">
        <v>648.94000000000005</v>
      </c>
      <c r="W58" s="103">
        <v>610.64</v>
      </c>
      <c r="X58" s="103">
        <v>508.86</v>
      </c>
      <c r="Y58" s="103">
        <v>339.38</v>
      </c>
      <c r="Z58" s="103">
        <v>145.99</v>
      </c>
      <c r="AA58" s="103">
        <v>42.6</v>
      </c>
      <c r="AB58" s="103">
        <v>36.76</v>
      </c>
      <c r="AC58" s="33">
        <f t="shared" si="3"/>
        <v>3777.5800000000004</v>
      </c>
    </row>
    <row r="59" spans="1:30" x14ac:dyDescent="0.25">
      <c r="A59" s="52">
        <v>2004</v>
      </c>
      <c r="B59" s="106">
        <v>70.635599999999997</v>
      </c>
      <c r="C59" s="106">
        <v>121.1994</v>
      </c>
      <c r="D59" s="106">
        <v>246.48689999999999</v>
      </c>
      <c r="E59" s="106">
        <v>533.45069999999998</v>
      </c>
      <c r="F59" s="106">
        <v>595.62735296000005</v>
      </c>
      <c r="G59" s="106">
        <v>591.19860000000006</v>
      </c>
      <c r="H59" s="106">
        <v>573.2364</v>
      </c>
      <c r="I59" s="106">
        <v>504.24599999999998</v>
      </c>
      <c r="J59" s="106">
        <v>313.3938</v>
      </c>
      <c r="K59" s="107">
        <v>127.0821</v>
      </c>
      <c r="L59" s="106">
        <v>74.559899999999999</v>
      </c>
      <c r="M59" s="106">
        <v>37.735500000000002</v>
      </c>
      <c r="N59" s="101">
        <f t="shared" si="0"/>
        <v>3788.8522529600004</v>
      </c>
      <c r="P59" s="52">
        <v>2004</v>
      </c>
      <c r="Q59" s="103">
        <v>72.66</v>
      </c>
      <c r="R59" s="103">
        <v>117.27</v>
      </c>
      <c r="S59" s="103">
        <v>242.28</v>
      </c>
      <c r="T59" s="103">
        <v>478.23</v>
      </c>
      <c r="U59" s="103">
        <v>525.23</v>
      </c>
      <c r="V59" s="103">
        <v>521.86</v>
      </c>
      <c r="W59" s="103">
        <v>528.39</v>
      </c>
      <c r="X59" s="103">
        <v>477.67</v>
      </c>
      <c r="Y59" s="103">
        <v>320.26</v>
      </c>
      <c r="Z59" s="103">
        <v>145.31</v>
      </c>
      <c r="AA59" s="103">
        <v>64.45</v>
      </c>
      <c r="AB59" s="103">
        <v>34.299999999999997</v>
      </c>
      <c r="AC59" s="33">
        <f t="shared" si="3"/>
        <v>3527.9100000000003</v>
      </c>
    </row>
    <row r="60" spans="1:30" x14ac:dyDescent="0.25">
      <c r="A60" s="52">
        <v>2005</v>
      </c>
      <c r="B60" s="106">
        <v>57.890700000000002</v>
      </c>
      <c r="C60" s="106">
        <v>156.15899999999999</v>
      </c>
      <c r="D60" s="107">
        <v>309.89490000000001</v>
      </c>
      <c r="E60" s="107">
        <v>351.5772</v>
      </c>
      <c r="F60" s="106">
        <v>674.40509999999995</v>
      </c>
      <c r="G60" s="106">
        <v>666.84</v>
      </c>
      <c r="H60" s="106">
        <v>666.85829999999999</v>
      </c>
      <c r="I60" s="106">
        <v>492.7011</v>
      </c>
      <c r="J60" s="106">
        <v>370.48897470468501</v>
      </c>
      <c r="K60" s="106">
        <v>240.42188440000001</v>
      </c>
      <c r="L60" s="106">
        <v>62.00165664</v>
      </c>
      <c r="M60" s="106">
        <v>34.096768560000001</v>
      </c>
      <c r="N60" s="101">
        <f t="shared" si="0"/>
        <v>4083.3355843046847</v>
      </c>
      <c r="P60" s="52">
        <v>2005</v>
      </c>
      <c r="Q60" s="105">
        <v>56.3508</v>
      </c>
      <c r="R60" s="105">
        <v>145.32480000000001</v>
      </c>
      <c r="S60" s="105">
        <v>299.4984</v>
      </c>
      <c r="T60" s="105">
        <v>434.358</v>
      </c>
      <c r="U60" s="105">
        <v>551.62440000000004</v>
      </c>
      <c r="V60" s="105">
        <v>632.9556</v>
      </c>
      <c r="W60" s="105">
        <v>659.85119999999995</v>
      </c>
      <c r="X60" s="105">
        <v>470.13839999999999</v>
      </c>
      <c r="Y60" s="105">
        <v>350.5324</v>
      </c>
      <c r="Z60" s="105">
        <v>202.66200000000001</v>
      </c>
      <c r="AA60" s="105">
        <v>65.595600000000005</v>
      </c>
      <c r="AB60" s="105">
        <v>36.345599999999997</v>
      </c>
      <c r="AC60" s="33">
        <f t="shared" si="3"/>
        <v>3905.2372</v>
      </c>
    </row>
    <row r="61" spans="1:30" x14ac:dyDescent="0.25">
      <c r="A61" s="52">
        <v>2006</v>
      </c>
      <c r="B61" s="106">
        <v>64.768131359999998</v>
      </c>
      <c r="C61" s="106">
        <v>123.64957475999999</v>
      </c>
      <c r="D61" s="106">
        <v>336.85486847999999</v>
      </c>
      <c r="E61" s="106">
        <v>384.22508435999998</v>
      </c>
      <c r="F61" s="106">
        <v>583.19280719999995</v>
      </c>
      <c r="G61" s="106">
        <v>685.16464636000001</v>
      </c>
      <c r="H61" s="106">
        <v>707.26279032000002</v>
      </c>
      <c r="I61" s="106">
        <v>411.40404791999998</v>
      </c>
      <c r="J61" s="106">
        <v>357.46802456</v>
      </c>
      <c r="K61" s="106">
        <v>168.8904</v>
      </c>
      <c r="L61" s="106">
        <v>60.577199999999998</v>
      </c>
      <c r="M61" s="106">
        <v>37.0152</v>
      </c>
      <c r="N61" s="33">
        <f t="shared" si="0"/>
        <v>3920.47277532</v>
      </c>
      <c r="P61" s="52">
        <v>2006</v>
      </c>
      <c r="Q61" s="103">
        <v>67.48</v>
      </c>
      <c r="R61" s="103">
        <v>116.12</v>
      </c>
      <c r="S61" s="103">
        <v>319.61</v>
      </c>
      <c r="T61" s="103">
        <v>416.21</v>
      </c>
      <c r="U61" s="104">
        <v>482.6</v>
      </c>
      <c r="V61" s="103">
        <v>665.51</v>
      </c>
      <c r="W61" s="103">
        <v>687.76</v>
      </c>
      <c r="X61" s="103">
        <v>359.99</v>
      </c>
      <c r="Y61" s="103">
        <v>363.23</v>
      </c>
      <c r="Z61" s="103">
        <v>169.85</v>
      </c>
      <c r="AA61" s="103">
        <v>43.45</v>
      </c>
      <c r="AB61" s="104">
        <v>32.74</v>
      </c>
      <c r="AC61" s="101">
        <f t="shared" si="3"/>
        <v>3724.5499999999993</v>
      </c>
    </row>
    <row r="62" spans="1:30" x14ac:dyDescent="0.25">
      <c r="A62" s="52">
        <v>2007</v>
      </c>
      <c r="B62" s="106">
        <v>58.92</v>
      </c>
      <c r="C62" s="106">
        <v>124.45</v>
      </c>
      <c r="D62" s="106">
        <v>256.69</v>
      </c>
      <c r="E62" s="106">
        <v>517.27</v>
      </c>
      <c r="F62" s="106">
        <v>566.75</v>
      </c>
      <c r="G62" s="106">
        <v>624.59</v>
      </c>
      <c r="H62" s="106">
        <v>530.29999999999995</v>
      </c>
      <c r="I62" s="106">
        <v>486.49</v>
      </c>
      <c r="J62" s="106">
        <v>328.43</v>
      </c>
      <c r="K62" s="106">
        <v>162.12</v>
      </c>
      <c r="L62" s="106">
        <v>55.7</v>
      </c>
      <c r="M62" s="106">
        <v>33.15</v>
      </c>
      <c r="N62" s="33">
        <f t="shared" si="0"/>
        <v>3744.8599999999997</v>
      </c>
      <c r="P62" s="52">
        <v>2007</v>
      </c>
      <c r="Q62" s="106">
        <v>60.3</v>
      </c>
      <c r="R62" s="103">
        <v>139.31</v>
      </c>
      <c r="S62" s="103">
        <v>259.20999999999998</v>
      </c>
      <c r="T62" s="103">
        <v>476.97</v>
      </c>
      <c r="U62" s="103">
        <v>537.36</v>
      </c>
      <c r="V62" s="103">
        <v>617.03</v>
      </c>
      <c r="W62" s="103">
        <v>517.58000000000004</v>
      </c>
      <c r="X62" s="103">
        <v>469.31</v>
      </c>
      <c r="Y62" s="103">
        <v>332.6</v>
      </c>
      <c r="Z62" s="103">
        <v>148.79</v>
      </c>
      <c r="AA62" s="103">
        <v>56.14</v>
      </c>
      <c r="AB62" s="103">
        <v>29.93</v>
      </c>
      <c r="AC62" s="33">
        <f t="shared" si="3"/>
        <v>3644.5299999999997</v>
      </c>
    </row>
    <row r="63" spans="1:30" x14ac:dyDescent="0.25">
      <c r="A63" s="52">
        <v>2008</v>
      </c>
      <c r="B63" s="106">
        <v>52.28</v>
      </c>
      <c r="C63" s="106">
        <v>107.35</v>
      </c>
      <c r="D63" s="107">
        <v>241.08</v>
      </c>
      <c r="E63" s="106">
        <v>392.95</v>
      </c>
      <c r="F63" s="106">
        <v>685.78</v>
      </c>
      <c r="G63" s="107">
        <v>600.53</v>
      </c>
      <c r="H63" s="107">
        <v>600.44000000000005</v>
      </c>
      <c r="I63" s="106">
        <v>414.54</v>
      </c>
      <c r="J63" s="106">
        <v>292.08</v>
      </c>
      <c r="K63" s="107">
        <v>211.88</v>
      </c>
      <c r="L63" s="107">
        <v>66.83</v>
      </c>
      <c r="M63" s="106">
        <v>33.71</v>
      </c>
      <c r="N63" s="101">
        <f t="shared" si="0"/>
        <v>3699.4500000000003</v>
      </c>
      <c r="P63" s="52">
        <v>2008</v>
      </c>
      <c r="Q63" s="103">
        <v>47.78</v>
      </c>
      <c r="R63" s="103">
        <v>92.82</v>
      </c>
      <c r="S63" s="103">
        <v>242.52</v>
      </c>
      <c r="T63" s="103">
        <v>379</v>
      </c>
      <c r="U63" s="103">
        <v>581.71</v>
      </c>
      <c r="V63" s="103">
        <v>680.47</v>
      </c>
      <c r="W63" s="103">
        <v>614.64</v>
      </c>
      <c r="X63" s="103">
        <v>453.51</v>
      </c>
      <c r="Y63" s="103">
        <v>282.98</v>
      </c>
      <c r="Z63" s="103">
        <v>135.43</v>
      </c>
      <c r="AA63" s="103">
        <v>68.63</v>
      </c>
      <c r="AB63" s="103">
        <v>30.76</v>
      </c>
      <c r="AC63" s="33">
        <f t="shared" si="3"/>
        <v>3610.25</v>
      </c>
    </row>
    <row r="64" spans="1:30" x14ac:dyDescent="0.25">
      <c r="A64" s="52">
        <v>2009</v>
      </c>
      <c r="B64" s="106">
        <v>56.03</v>
      </c>
      <c r="C64" s="106">
        <v>114.96</v>
      </c>
      <c r="D64" s="106">
        <v>223.35</v>
      </c>
      <c r="E64" s="106">
        <v>541.91999999999996</v>
      </c>
      <c r="F64" s="106">
        <v>634.38</v>
      </c>
      <c r="G64" s="106">
        <v>551.35</v>
      </c>
      <c r="H64" s="106">
        <v>633.15</v>
      </c>
      <c r="I64" s="106">
        <v>519.27</v>
      </c>
      <c r="J64" s="106">
        <v>317.02999999999997</v>
      </c>
      <c r="K64" s="107">
        <v>104.64</v>
      </c>
      <c r="L64" s="106">
        <v>50.33</v>
      </c>
      <c r="M64" s="106">
        <v>34.35</v>
      </c>
      <c r="N64" s="101">
        <f t="shared" si="0"/>
        <v>3780.7599999999993</v>
      </c>
      <c r="P64" s="52">
        <v>2009</v>
      </c>
      <c r="Q64" s="103">
        <v>61.71</v>
      </c>
      <c r="R64" s="103">
        <v>131.02000000000001</v>
      </c>
      <c r="S64" s="103">
        <v>217.53</v>
      </c>
      <c r="T64" s="103">
        <v>538.03</v>
      </c>
      <c r="U64" s="103">
        <v>612.44000000000005</v>
      </c>
      <c r="V64" s="103">
        <v>497.08</v>
      </c>
      <c r="W64" s="103">
        <v>599.11</v>
      </c>
      <c r="X64" s="103">
        <v>558.66</v>
      </c>
      <c r="Y64" s="103">
        <v>355.59</v>
      </c>
      <c r="Z64" s="103">
        <v>123.74</v>
      </c>
      <c r="AA64" s="103">
        <v>53.99</v>
      </c>
      <c r="AB64" s="103">
        <v>33.11</v>
      </c>
      <c r="AC64" s="33">
        <f t="shared" si="3"/>
        <v>3782.0099999999998</v>
      </c>
    </row>
    <row r="65" spans="1:29" x14ac:dyDescent="0.25">
      <c r="A65" s="52">
        <v>2010</v>
      </c>
      <c r="B65" s="106">
        <v>76.87</v>
      </c>
      <c r="C65" s="106">
        <v>116.29</v>
      </c>
      <c r="D65" s="106">
        <v>268.68</v>
      </c>
      <c r="E65" s="106">
        <v>445.1</v>
      </c>
      <c r="F65" s="106">
        <v>504.66</v>
      </c>
      <c r="G65" s="106">
        <v>595.29999999999995</v>
      </c>
      <c r="H65" s="106">
        <v>620.05999999999995</v>
      </c>
      <c r="I65" s="106">
        <v>491.1</v>
      </c>
      <c r="J65" s="106">
        <v>308.51</v>
      </c>
      <c r="K65" s="107">
        <v>200.72</v>
      </c>
      <c r="L65" s="107">
        <v>45.35</v>
      </c>
      <c r="M65" s="107">
        <v>36.74</v>
      </c>
      <c r="N65" s="101">
        <f t="shared" si="0"/>
        <v>3709.3799999999992</v>
      </c>
      <c r="P65" s="52">
        <v>2010</v>
      </c>
      <c r="Q65" s="103">
        <v>78.180000000000007</v>
      </c>
      <c r="R65" s="103">
        <v>114.11</v>
      </c>
      <c r="S65" s="103">
        <v>273.62</v>
      </c>
      <c r="T65" s="103">
        <v>413.99</v>
      </c>
      <c r="U65" s="103">
        <v>492.71</v>
      </c>
      <c r="V65" s="103">
        <v>570.29999999999995</v>
      </c>
      <c r="W65" s="103">
        <v>626.04999999999995</v>
      </c>
      <c r="X65" s="103">
        <v>474.55</v>
      </c>
      <c r="Y65" s="103">
        <v>281.08999999999997</v>
      </c>
      <c r="Z65" s="103">
        <v>203.91</v>
      </c>
      <c r="AA65" s="103">
        <v>51.69</v>
      </c>
      <c r="AB65" s="103">
        <v>45.17</v>
      </c>
      <c r="AC65" s="33">
        <f t="shared" si="3"/>
        <v>3625.3700000000003</v>
      </c>
    </row>
    <row r="66" spans="1:29" x14ac:dyDescent="0.25">
      <c r="A66" s="52">
        <v>2011</v>
      </c>
      <c r="B66" s="107">
        <v>51.03</v>
      </c>
      <c r="C66" s="106">
        <v>176.43</v>
      </c>
      <c r="D66" s="106">
        <v>308.99</v>
      </c>
      <c r="E66" s="106">
        <v>439.83</v>
      </c>
      <c r="F66" s="106">
        <v>572.45000000000005</v>
      </c>
      <c r="G66" s="106">
        <v>649.63</v>
      </c>
      <c r="H66" s="106">
        <v>457.27</v>
      </c>
      <c r="I66" s="106">
        <v>456.17</v>
      </c>
      <c r="J66" s="106">
        <v>316.27999999999997</v>
      </c>
      <c r="K66" s="106">
        <v>186.95</v>
      </c>
      <c r="L66" s="106">
        <v>72.7</v>
      </c>
      <c r="M66" s="106">
        <v>39.69</v>
      </c>
      <c r="N66" s="101">
        <f t="shared" si="0"/>
        <v>3727.4199999999996</v>
      </c>
      <c r="P66" s="52">
        <v>2011</v>
      </c>
      <c r="Q66" s="106">
        <v>59.4</v>
      </c>
      <c r="R66" s="103">
        <v>168.04</v>
      </c>
      <c r="S66" s="103">
        <v>318.86</v>
      </c>
      <c r="T66" s="103">
        <v>440.79</v>
      </c>
      <c r="U66" s="103">
        <v>540.53</v>
      </c>
      <c r="V66" s="103">
        <v>650.73</v>
      </c>
      <c r="W66" s="103">
        <v>533.55999999999995</v>
      </c>
      <c r="X66" s="103">
        <v>487.51</v>
      </c>
      <c r="Y66" s="104">
        <v>284.42</v>
      </c>
      <c r="Z66" s="103">
        <v>185.11</v>
      </c>
      <c r="AA66" s="103">
        <v>65.239999999999995</v>
      </c>
      <c r="AB66" s="103">
        <v>36.44</v>
      </c>
      <c r="AC66" s="101">
        <f t="shared" si="3"/>
        <v>3770.63</v>
      </c>
    </row>
    <row r="67" spans="1:29" x14ac:dyDescent="0.25">
      <c r="A67" s="52">
        <v>2012</v>
      </c>
      <c r="B67" s="106">
        <v>63.48</v>
      </c>
      <c r="C67" s="106">
        <v>147.62</v>
      </c>
      <c r="D67" s="106">
        <v>288.93</v>
      </c>
      <c r="E67" s="106">
        <v>437.87</v>
      </c>
      <c r="F67" s="106">
        <v>650.62</v>
      </c>
      <c r="G67" s="106">
        <v>596.47</v>
      </c>
      <c r="H67" s="106">
        <v>595.59</v>
      </c>
      <c r="I67" s="106">
        <v>435.67</v>
      </c>
      <c r="J67" s="107" t="s">
        <v>13</v>
      </c>
      <c r="K67" s="107">
        <v>130.94</v>
      </c>
      <c r="L67" s="106">
        <v>55.54</v>
      </c>
      <c r="M67" s="106">
        <v>47.31</v>
      </c>
      <c r="N67" s="101">
        <f t="shared" si="0"/>
        <v>3450.04</v>
      </c>
      <c r="P67" s="52">
        <v>2012</v>
      </c>
      <c r="Q67" s="103">
        <v>66.72</v>
      </c>
      <c r="R67" s="103">
        <v>156.66</v>
      </c>
      <c r="S67" s="103">
        <v>255.38</v>
      </c>
      <c r="T67" s="103">
        <v>449.44</v>
      </c>
      <c r="U67" s="103">
        <v>649.51</v>
      </c>
      <c r="V67" s="103">
        <v>545.01</v>
      </c>
      <c r="W67" s="103">
        <v>603.9</v>
      </c>
      <c r="X67" s="103">
        <v>453.22</v>
      </c>
      <c r="Y67" s="103">
        <v>293.74</v>
      </c>
      <c r="Z67" s="103">
        <v>159.29</v>
      </c>
      <c r="AA67" s="103">
        <v>49.03</v>
      </c>
      <c r="AB67" s="103">
        <v>50.76</v>
      </c>
      <c r="AC67" s="33">
        <f t="shared" si="3"/>
        <v>3732.6600000000003</v>
      </c>
    </row>
    <row r="68" spans="1:29" x14ac:dyDescent="0.25">
      <c r="A68" s="52">
        <v>2013</v>
      </c>
      <c r="B68" s="106">
        <v>64.510000000000005</v>
      </c>
      <c r="C68" s="106">
        <v>104.4</v>
      </c>
      <c r="D68" s="106">
        <v>350.1</v>
      </c>
      <c r="E68" s="106">
        <v>451.39</v>
      </c>
      <c r="F68" s="107">
        <v>495.91</v>
      </c>
      <c r="G68" s="107">
        <v>440.54</v>
      </c>
      <c r="H68" s="107" t="s">
        <v>13</v>
      </c>
      <c r="I68" s="107">
        <v>470.04</v>
      </c>
      <c r="J68" s="106">
        <v>289.97000000000003</v>
      </c>
      <c r="K68" s="106">
        <v>151.38</v>
      </c>
      <c r="L68" s="107" t="s">
        <v>13</v>
      </c>
      <c r="M68" s="107">
        <v>21.76</v>
      </c>
      <c r="N68" s="101">
        <f t="shared" si="0"/>
        <v>2840</v>
      </c>
      <c r="P68" s="52">
        <v>2013</v>
      </c>
      <c r="Q68" s="107">
        <v>63.4</v>
      </c>
      <c r="R68" s="103">
        <v>119.43</v>
      </c>
      <c r="S68" s="103">
        <v>379.71</v>
      </c>
      <c r="T68" s="103">
        <v>446.68</v>
      </c>
      <c r="U68" s="103">
        <v>599.16</v>
      </c>
      <c r="V68" s="103">
        <v>633.6</v>
      </c>
      <c r="W68" s="103">
        <v>562.35</v>
      </c>
      <c r="X68" s="103">
        <v>547.54</v>
      </c>
      <c r="Y68" s="103">
        <v>289.76</v>
      </c>
      <c r="Z68" s="103">
        <v>148.22</v>
      </c>
      <c r="AA68" s="103">
        <v>55.61</v>
      </c>
      <c r="AB68" s="103">
        <v>47.46</v>
      </c>
      <c r="AC68" s="101">
        <f t="shared" si="3"/>
        <v>3892.92</v>
      </c>
    </row>
    <row r="69" spans="1:29" x14ac:dyDescent="0.25">
      <c r="A69" s="52">
        <v>2014</v>
      </c>
      <c r="B69" s="106">
        <v>74.849999999999994</v>
      </c>
      <c r="C69" s="106">
        <v>115.1</v>
      </c>
      <c r="D69" s="106">
        <v>269.38</v>
      </c>
      <c r="E69" s="107">
        <v>515.04</v>
      </c>
      <c r="F69" s="106">
        <v>608.72</v>
      </c>
      <c r="G69" s="106">
        <v>593.13</v>
      </c>
      <c r="H69" s="106">
        <v>705.59</v>
      </c>
      <c r="I69" s="106">
        <v>489.24</v>
      </c>
      <c r="J69" s="106">
        <v>382.35</v>
      </c>
      <c r="K69" s="106">
        <v>169.41</v>
      </c>
      <c r="L69" s="107">
        <v>54.88</v>
      </c>
      <c r="M69" s="106">
        <v>40.22</v>
      </c>
      <c r="N69" s="101">
        <f t="shared" si="0"/>
        <v>4017.91</v>
      </c>
      <c r="P69" s="52">
        <v>2014</v>
      </c>
      <c r="Q69" s="103">
        <v>80.790000000000006</v>
      </c>
      <c r="R69" s="103">
        <v>108.52</v>
      </c>
      <c r="S69" s="103">
        <v>276.77999999999997</v>
      </c>
      <c r="T69" s="103">
        <v>495.16</v>
      </c>
      <c r="U69" s="103">
        <v>539.22</v>
      </c>
      <c r="V69" s="103">
        <v>535.29</v>
      </c>
      <c r="W69" s="103">
        <v>653.71</v>
      </c>
      <c r="X69" s="103">
        <v>478.26</v>
      </c>
      <c r="Y69" s="103">
        <v>380.53</v>
      </c>
      <c r="Z69" s="103">
        <v>203.79</v>
      </c>
      <c r="AA69" s="103">
        <v>57.94</v>
      </c>
      <c r="AB69" s="103">
        <v>49.89</v>
      </c>
      <c r="AC69" s="33">
        <f t="shared" si="3"/>
        <v>3859.88</v>
      </c>
    </row>
    <row r="70" spans="1:29" x14ac:dyDescent="0.25">
      <c r="A70" s="52">
        <v>2015</v>
      </c>
      <c r="B70" s="106">
        <v>50.77</v>
      </c>
      <c r="C70" s="106">
        <v>107.98</v>
      </c>
      <c r="D70" s="106">
        <v>277.67</v>
      </c>
      <c r="E70" s="106">
        <v>447.33</v>
      </c>
      <c r="F70" s="107">
        <v>593.59</v>
      </c>
      <c r="G70" s="106">
        <v>685.69</v>
      </c>
      <c r="H70" s="106">
        <v>596.65</v>
      </c>
      <c r="I70" s="106">
        <v>632</v>
      </c>
      <c r="J70" s="106">
        <v>345.65</v>
      </c>
      <c r="K70" s="106">
        <v>216.08</v>
      </c>
      <c r="L70" s="106">
        <v>61.56</v>
      </c>
      <c r="M70" s="106">
        <v>44.19</v>
      </c>
      <c r="N70" s="101">
        <f t="shared" si="0"/>
        <v>4059.1600000000003</v>
      </c>
      <c r="P70" s="52">
        <v>2015</v>
      </c>
      <c r="Q70" s="103">
        <v>60.09</v>
      </c>
      <c r="R70" s="103">
        <v>116.32</v>
      </c>
      <c r="S70" s="103">
        <v>266.55</v>
      </c>
      <c r="T70" s="103">
        <v>432.71</v>
      </c>
      <c r="U70" s="103">
        <v>554.17999999999995</v>
      </c>
      <c r="V70" s="103">
        <v>711.23</v>
      </c>
      <c r="W70" s="103">
        <v>641.51</v>
      </c>
      <c r="X70" s="103">
        <v>642.91999999999996</v>
      </c>
      <c r="Y70" s="103">
        <v>320.94</v>
      </c>
      <c r="Z70" s="103">
        <v>200.76</v>
      </c>
      <c r="AA70" s="103">
        <v>58.83</v>
      </c>
      <c r="AB70" s="103">
        <v>47.87</v>
      </c>
      <c r="AC70" s="33">
        <f t="shared" si="3"/>
        <v>4053.91</v>
      </c>
    </row>
    <row r="71" spans="1:29" x14ac:dyDescent="0.25">
      <c r="A71" s="52">
        <v>2016</v>
      </c>
      <c r="B71" s="106">
        <v>63.7</v>
      </c>
      <c r="C71" s="106">
        <v>114.28</v>
      </c>
      <c r="D71" s="106">
        <v>251.9</v>
      </c>
      <c r="E71" s="107">
        <v>419.04</v>
      </c>
      <c r="F71" s="106">
        <v>675.93</v>
      </c>
      <c r="G71" s="106">
        <v>714.95</v>
      </c>
      <c r="H71" s="106">
        <v>597.12</v>
      </c>
      <c r="I71" s="106">
        <v>453.44</v>
      </c>
      <c r="J71" s="106">
        <v>384.34</v>
      </c>
      <c r="K71" s="106">
        <v>129.80000000000001</v>
      </c>
      <c r="L71" s="106">
        <v>61.2</v>
      </c>
      <c r="M71" s="106">
        <v>34.79</v>
      </c>
      <c r="N71" s="101">
        <f t="shared" si="0"/>
        <v>3900.4900000000002</v>
      </c>
      <c r="P71" s="52">
        <v>2016</v>
      </c>
      <c r="Q71" s="103">
        <v>73.53</v>
      </c>
      <c r="R71" s="103">
        <v>102.44</v>
      </c>
      <c r="S71" s="103">
        <v>241.75</v>
      </c>
      <c r="T71" s="103">
        <v>371.11</v>
      </c>
      <c r="U71" s="103">
        <v>698.89</v>
      </c>
      <c r="V71" s="103">
        <v>683.24</v>
      </c>
      <c r="W71" s="103">
        <v>539.28</v>
      </c>
      <c r="X71" s="103">
        <v>495.04</v>
      </c>
      <c r="Y71" s="103">
        <v>365.99</v>
      </c>
      <c r="Z71" s="104">
        <v>127.16</v>
      </c>
      <c r="AA71" s="103">
        <v>61.83</v>
      </c>
      <c r="AB71" s="103">
        <v>41.18</v>
      </c>
      <c r="AC71" s="101">
        <f t="shared" si="3"/>
        <v>3801.4399999999991</v>
      </c>
    </row>
    <row r="72" spans="1:29" x14ac:dyDescent="0.25">
      <c r="A72" s="52">
        <v>2017</v>
      </c>
      <c r="B72" s="106">
        <v>55.9</v>
      </c>
      <c r="C72" s="106">
        <v>92.35</v>
      </c>
      <c r="D72" s="106">
        <v>282.69</v>
      </c>
      <c r="E72" s="106">
        <v>412.14</v>
      </c>
      <c r="F72" s="106">
        <v>722.35</v>
      </c>
      <c r="G72" s="106">
        <v>629.47</v>
      </c>
      <c r="H72" s="106">
        <v>573.80999999999995</v>
      </c>
      <c r="I72" s="106">
        <v>510.93</v>
      </c>
      <c r="J72" s="106">
        <v>279.01</v>
      </c>
      <c r="K72" s="106">
        <v>145.29</v>
      </c>
      <c r="L72" s="106">
        <v>60.83</v>
      </c>
      <c r="M72" s="106">
        <v>34.619999999999997</v>
      </c>
      <c r="N72" s="33">
        <f t="shared" si="0"/>
        <v>3799.3899999999994</v>
      </c>
      <c r="P72" s="52">
        <v>2017</v>
      </c>
      <c r="Q72" s="103">
        <v>65.53</v>
      </c>
      <c r="R72" s="103">
        <v>103.12</v>
      </c>
      <c r="S72" s="103">
        <v>237</v>
      </c>
      <c r="T72" s="103">
        <v>360.28</v>
      </c>
      <c r="U72" s="103">
        <v>655.30999999999995</v>
      </c>
      <c r="V72" s="103">
        <v>556.12</v>
      </c>
      <c r="W72" s="103">
        <v>564.70000000000005</v>
      </c>
      <c r="X72" s="103">
        <v>500.82</v>
      </c>
      <c r="Y72" s="103">
        <v>237.9</v>
      </c>
      <c r="Z72" s="103">
        <v>131.79</v>
      </c>
      <c r="AA72" s="103">
        <v>48.94</v>
      </c>
      <c r="AB72" s="103">
        <v>37.56</v>
      </c>
      <c r="AC72" s="33">
        <f t="shared" si="3"/>
        <v>3499.0699999999997</v>
      </c>
    </row>
    <row r="73" spans="1:29" x14ac:dyDescent="0.25">
      <c r="A73" s="52">
        <v>2018</v>
      </c>
      <c r="B73" s="106">
        <v>44.28</v>
      </c>
      <c r="C73" s="106">
        <v>156.11000000000001</v>
      </c>
      <c r="D73" s="106">
        <v>290.63</v>
      </c>
      <c r="E73" s="107">
        <v>348.58</v>
      </c>
      <c r="F73" s="107" t="s">
        <v>13</v>
      </c>
      <c r="G73" s="106">
        <v>682.2</v>
      </c>
      <c r="H73" s="106">
        <v>602.80999999999995</v>
      </c>
      <c r="I73" s="106">
        <v>509.28</v>
      </c>
      <c r="J73" s="106">
        <v>383.21</v>
      </c>
      <c r="K73" s="106">
        <v>226.13</v>
      </c>
      <c r="L73" s="106">
        <v>76.569999999999993</v>
      </c>
      <c r="M73" s="106">
        <v>49.04</v>
      </c>
      <c r="N73" s="101">
        <f t="shared" si="0"/>
        <v>3368.8399999999997</v>
      </c>
      <c r="P73" s="52">
        <v>2018</v>
      </c>
      <c r="Q73" s="103">
        <v>52.17</v>
      </c>
      <c r="R73" s="103">
        <v>134.13999999999999</v>
      </c>
      <c r="S73" s="103">
        <v>307.61</v>
      </c>
      <c r="T73" s="103">
        <v>471.81</v>
      </c>
      <c r="U73" s="103">
        <v>763.85</v>
      </c>
      <c r="V73" s="103">
        <v>687.98</v>
      </c>
      <c r="W73" s="103">
        <v>568.30999999999995</v>
      </c>
      <c r="X73" s="103">
        <v>551.57000000000005</v>
      </c>
      <c r="Y73" s="103">
        <v>368.56</v>
      </c>
      <c r="Z73" s="103">
        <v>213.43</v>
      </c>
      <c r="AA73" s="103">
        <v>50.06</v>
      </c>
      <c r="AB73" s="103">
        <v>35.020000000000003</v>
      </c>
      <c r="AC73" s="33">
        <f t="shared" si="3"/>
        <v>4204.5100000000011</v>
      </c>
    </row>
    <row r="74" spans="1:29" x14ac:dyDescent="0.25">
      <c r="A74" s="52">
        <v>2019</v>
      </c>
      <c r="B74" s="106">
        <v>74.459999999999994</v>
      </c>
      <c r="C74" s="106">
        <v>142.97999999999999</v>
      </c>
      <c r="D74" s="106">
        <v>255.54</v>
      </c>
      <c r="E74" s="106">
        <v>577.19000000000005</v>
      </c>
      <c r="F74" s="106">
        <v>587.22</v>
      </c>
      <c r="G74" s="106">
        <v>800.69</v>
      </c>
      <c r="H74" s="106">
        <v>694.98</v>
      </c>
      <c r="I74" s="106">
        <v>572.38</v>
      </c>
      <c r="J74" s="106">
        <v>326.94</v>
      </c>
      <c r="K74" s="106">
        <v>176.64</v>
      </c>
      <c r="L74" s="107">
        <v>14.43</v>
      </c>
      <c r="M74" s="107" t="s">
        <v>13</v>
      </c>
      <c r="N74" s="101">
        <f t="shared" si="0"/>
        <v>4223.4500000000007</v>
      </c>
      <c r="P74" s="52">
        <v>2019</v>
      </c>
      <c r="Q74" s="103">
        <v>70.91</v>
      </c>
      <c r="R74" s="103">
        <v>127.98</v>
      </c>
      <c r="S74" s="103">
        <v>268.92</v>
      </c>
      <c r="T74" s="103">
        <v>565.41999999999996</v>
      </c>
      <c r="U74" s="103">
        <v>542.07000000000005</v>
      </c>
      <c r="V74" s="103">
        <v>762.85</v>
      </c>
      <c r="W74" s="103">
        <v>629.26</v>
      </c>
      <c r="X74" s="103">
        <v>538.04999999999995</v>
      </c>
      <c r="Y74" s="103">
        <v>348.2</v>
      </c>
      <c r="Z74" s="103">
        <v>185.61</v>
      </c>
      <c r="AA74" s="103">
        <v>67.400000000000006</v>
      </c>
      <c r="AB74" s="103">
        <v>53.48</v>
      </c>
      <c r="AC74" s="33">
        <f t="shared" si="3"/>
        <v>4160.1499999999996</v>
      </c>
    </row>
    <row r="75" spans="1:29" x14ac:dyDescent="0.25">
      <c r="A75" s="52">
        <v>2020</v>
      </c>
      <c r="B75" s="107" t="s">
        <v>13</v>
      </c>
      <c r="C75" s="106">
        <v>100.78</v>
      </c>
      <c r="D75" s="106">
        <v>321.87</v>
      </c>
      <c r="E75" s="106">
        <v>531.45000000000005</v>
      </c>
      <c r="F75" s="106">
        <v>690.23</v>
      </c>
      <c r="G75" s="106">
        <v>618.86</v>
      </c>
      <c r="H75" s="106">
        <v>628.1</v>
      </c>
      <c r="I75" s="106">
        <v>535.88</v>
      </c>
      <c r="J75" s="106">
        <v>358.68</v>
      </c>
      <c r="K75" s="106">
        <v>154.71</v>
      </c>
      <c r="L75" s="106">
        <v>52.44</v>
      </c>
      <c r="M75" s="106">
        <v>35.28</v>
      </c>
      <c r="N75" s="101">
        <f t="shared" ref="N75:N77" si="4">SUM(B75:M75)</f>
        <v>4028.28</v>
      </c>
      <c r="P75" s="52">
        <v>2020</v>
      </c>
      <c r="Q75" s="104" t="s">
        <v>13</v>
      </c>
      <c r="R75" s="103">
        <v>118.77</v>
      </c>
      <c r="S75" s="103">
        <v>324.51</v>
      </c>
      <c r="T75" s="103">
        <v>468.1</v>
      </c>
      <c r="U75" s="103">
        <v>610.54</v>
      </c>
      <c r="V75" s="103">
        <v>678.1</v>
      </c>
      <c r="W75" s="103">
        <v>626.63</v>
      </c>
      <c r="X75" s="103">
        <v>553.51</v>
      </c>
      <c r="Y75" s="103">
        <v>375.73</v>
      </c>
      <c r="Z75" s="103">
        <v>140.69999999999999</v>
      </c>
      <c r="AA75" s="103">
        <v>53.81</v>
      </c>
      <c r="AB75" s="103">
        <v>32.770000000000003</v>
      </c>
      <c r="AC75" s="101">
        <f t="shared" si="3"/>
        <v>3983.1699999999996</v>
      </c>
    </row>
    <row r="76" spans="1:29" x14ac:dyDescent="0.25">
      <c r="A76" s="52">
        <v>2021</v>
      </c>
      <c r="B76" s="153">
        <v>61.9</v>
      </c>
      <c r="C76" s="153">
        <v>165.97</v>
      </c>
      <c r="D76" s="153">
        <v>257.58999999999997</v>
      </c>
      <c r="E76" s="153">
        <v>427.94</v>
      </c>
      <c r="F76" s="153">
        <v>624.32000000000005</v>
      </c>
      <c r="G76" s="154">
        <v>669.36</v>
      </c>
      <c r="H76" s="153">
        <v>684.33</v>
      </c>
      <c r="I76" s="153">
        <v>447.99</v>
      </c>
      <c r="J76" s="153">
        <v>349.01</v>
      </c>
      <c r="K76" s="153">
        <v>199.84</v>
      </c>
      <c r="L76" s="153">
        <v>66.86</v>
      </c>
      <c r="M76" s="154">
        <v>46.29</v>
      </c>
      <c r="N76" s="101">
        <f t="shared" si="4"/>
        <v>4001.4</v>
      </c>
      <c r="P76" s="52">
        <v>2021</v>
      </c>
      <c r="Q76" s="106">
        <v>58.63</v>
      </c>
      <c r="R76" s="106">
        <v>162.28</v>
      </c>
      <c r="S76" s="106">
        <v>261.93</v>
      </c>
      <c r="T76" s="106">
        <v>391.41</v>
      </c>
      <c r="U76" s="106">
        <v>555.08000000000004</v>
      </c>
      <c r="V76" s="108">
        <v>695.11</v>
      </c>
      <c r="W76" s="106">
        <v>685.56</v>
      </c>
      <c r="X76" s="106">
        <v>418.1</v>
      </c>
      <c r="Y76" s="106">
        <v>302.14999999999998</v>
      </c>
      <c r="Z76" s="106">
        <v>205.42</v>
      </c>
      <c r="AA76" s="106">
        <v>62.72</v>
      </c>
      <c r="AB76" s="106">
        <v>46.21</v>
      </c>
      <c r="AC76" s="101">
        <f t="shared" si="3"/>
        <v>3844.6</v>
      </c>
    </row>
    <row r="77" spans="1:29" x14ac:dyDescent="0.25">
      <c r="A77" s="52">
        <v>2022</v>
      </c>
      <c r="B77" s="106">
        <v>55.31</v>
      </c>
      <c r="C77" s="106">
        <v>111.22</v>
      </c>
      <c r="D77" s="106">
        <v>379.76</v>
      </c>
      <c r="E77" s="106">
        <v>465.6</v>
      </c>
      <c r="F77" s="106">
        <v>586.71</v>
      </c>
      <c r="G77" s="107">
        <v>647.97</v>
      </c>
      <c r="H77" s="106">
        <v>591.41999999999996</v>
      </c>
      <c r="I77" s="106">
        <v>552.57000000000005</v>
      </c>
      <c r="J77" s="106">
        <v>343.4</v>
      </c>
      <c r="K77" s="106">
        <v>186.25</v>
      </c>
      <c r="L77" s="106">
        <v>57.77</v>
      </c>
      <c r="M77" s="107">
        <v>38.56</v>
      </c>
      <c r="N77" s="101">
        <f t="shared" si="4"/>
        <v>4016.54</v>
      </c>
      <c r="P77" s="52">
        <v>2022</v>
      </c>
      <c r="Q77" s="106">
        <v>60.97</v>
      </c>
      <c r="R77" s="106">
        <v>128.86000000000001</v>
      </c>
      <c r="S77" s="106">
        <v>378.39</v>
      </c>
      <c r="T77" s="106">
        <v>428.3</v>
      </c>
      <c r="U77" s="106">
        <v>541.5</v>
      </c>
      <c r="V77" s="106">
        <v>619.33000000000004</v>
      </c>
      <c r="W77" s="106">
        <v>625.52</v>
      </c>
      <c r="X77" s="106">
        <v>588.21</v>
      </c>
      <c r="Y77" s="106">
        <v>328.54</v>
      </c>
      <c r="Z77" s="109">
        <v>174.93</v>
      </c>
      <c r="AA77" s="103">
        <v>50.72</v>
      </c>
      <c r="AB77" s="103">
        <v>38.79</v>
      </c>
      <c r="AC77" s="101">
        <f t="shared" si="3"/>
        <v>3964.0599999999995</v>
      </c>
    </row>
    <row r="78" spans="1:29" x14ac:dyDescent="0.25">
      <c r="A78" s="52">
        <v>2023</v>
      </c>
      <c r="B78" s="106">
        <v>45.06</v>
      </c>
      <c r="C78" s="106">
        <v>121.61</v>
      </c>
      <c r="D78" s="106">
        <v>254.92</v>
      </c>
      <c r="E78" s="106">
        <v>413.82</v>
      </c>
      <c r="F78" s="106">
        <v>705.79</v>
      </c>
      <c r="G78" s="106">
        <v>707.17</v>
      </c>
      <c r="H78" s="106">
        <v>636.78</v>
      </c>
      <c r="I78" s="106">
        <v>471.54</v>
      </c>
      <c r="J78" s="106">
        <v>381.68</v>
      </c>
      <c r="K78" s="106">
        <v>156.05000000000001</v>
      </c>
      <c r="L78" s="106">
        <v>72.53</v>
      </c>
      <c r="M78" s="107">
        <v>32.659999999999997</v>
      </c>
      <c r="N78" s="101">
        <f>SUM(B78:M78)</f>
        <v>3999.6099999999997</v>
      </c>
      <c r="P78" s="52">
        <v>2023</v>
      </c>
      <c r="Q78" s="103">
        <v>41.21</v>
      </c>
      <c r="R78" s="106">
        <v>100.7</v>
      </c>
      <c r="S78" s="103">
        <v>271.52999999999997</v>
      </c>
      <c r="T78" s="103">
        <v>422.68</v>
      </c>
      <c r="U78" s="103">
        <v>717.12</v>
      </c>
      <c r="V78" s="103">
        <v>687.48</v>
      </c>
      <c r="W78" s="105">
        <v>630.5</v>
      </c>
      <c r="X78" s="105">
        <v>478.7</v>
      </c>
      <c r="Y78" s="103">
        <v>425.19</v>
      </c>
      <c r="Z78" s="103">
        <v>168.66</v>
      </c>
      <c r="AA78" s="103">
        <v>66.41</v>
      </c>
      <c r="AB78" s="103">
        <v>33.83</v>
      </c>
      <c r="AC78" s="33">
        <f>SUM(Q78:AB78)</f>
        <v>4044.0099999999993</v>
      </c>
    </row>
    <row r="79" spans="1:29" x14ac:dyDescent="0.25">
      <c r="A79" s="52">
        <v>2024</v>
      </c>
      <c r="B79" s="106">
        <v>60.17</v>
      </c>
      <c r="C79" s="106">
        <v>86.52</v>
      </c>
      <c r="D79" s="106">
        <v>249.59</v>
      </c>
      <c r="E79" s="106">
        <v>389.26</v>
      </c>
      <c r="F79" s="106">
        <v>753.58</v>
      </c>
      <c r="G79" s="106">
        <v>698.2</v>
      </c>
      <c r="H79" s="106">
        <v>651.80999999999995</v>
      </c>
      <c r="I79" s="106">
        <v>620.79999999999995</v>
      </c>
      <c r="J79" s="106">
        <v>401.16</v>
      </c>
      <c r="K79" s="106">
        <v>190.46</v>
      </c>
      <c r="L79" s="106">
        <v>52.26</v>
      </c>
      <c r="M79" s="106">
        <v>34.92</v>
      </c>
      <c r="N79" s="33">
        <f>SUM(B79:M79)</f>
        <v>4188.7299999999996</v>
      </c>
      <c r="P79" s="52">
        <v>2024</v>
      </c>
      <c r="Q79" s="103">
        <v>66.02</v>
      </c>
      <c r="R79" s="103">
        <v>89.25</v>
      </c>
      <c r="S79" s="103">
        <v>271.23</v>
      </c>
      <c r="T79" s="103">
        <v>361.74</v>
      </c>
      <c r="U79" s="103">
        <v>709.81</v>
      </c>
      <c r="V79" s="103">
        <v>661.72</v>
      </c>
      <c r="W79" s="103">
        <v>602.85</v>
      </c>
      <c r="X79" s="103">
        <v>573.73</v>
      </c>
      <c r="Y79" s="103">
        <v>389.57</v>
      </c>
      <c r="Z79" s="103">
        <v>182.05</v>
      </c>
      <c r="AA79" s="103">
        <v>53.28</v>
      </c>
      <c r="AB79" s="103">
        <v>30.86</v>
      </c>
      <c r="AC79" s="33">
        <f>SUM(Q79:AB79)</f>
        <v>3992.1100000000006</v>
      </c>
    </row>
    <row r="80" spans="1:29" x14ac:dyDescent="0.25">
      <c r="A80" s="52">
        <v>2025</v>
      </c>
      <c r="B80" s="106">
        <v>43.18</v>
      </c>
      <c r="C80" s="106">
        <v>136.63999999999999</v>
      </c>
      <c r="D80" s="106">
        <v>283.48</v>
      </c>
      <c r="E80" s="106">
        <v>510.84</v>
      </c>
      <c r="F80" s="106">
        <v>623.94000000000005</v>
      </c>
      <c r="G80" s="106">
        <v>640.94000000000005</v>
      </c>
      <c r="H80" s="106">
        <v>582.86</v>
      </c>
      <c r="I80" s="106">
        <v>498.56</v>
      </c>
      <c r="J80" s="106">
        <v>337.96</v>
      </c>
      <c r="K80" s="106">
        <v>181.86</v>
      </c>
      <c r="L80" s="106">
        <v>62.49</v>
      </c>
      <c r="M80" s="106">
        <v>31.46</v>
      </c>
      <c r="N80" s="33">
        <f>SUM(B80:M80)</f>
        <v>3934.21</v>
      </c>
      <c r="P80" s="52">
        <v>2025</v>
      </c>
      <c r="Q80" s="103">
        <v>41.23</v>
      </c>
      <c r="R80" s="103">
        <v>130.79</v>
      </c>
      <c r="S80" s="103">
        <v>297.08</v>
      </c>
      <c r="T80" s="103">
        <v>497.27</v>
      </c>
      <c r="U80" s="103">
        <v>581.84</v>
      </c>
      <c r="V80" s="103">
        <v>595.74</v>
      </c>
      <c r="W80" s="103">
        <v>564.92999999999995</v>
      </c>
      <c r="X80" s="106">
        <v>493.4</v>
      </c>
      <c r="Y80" s="106">
        <v>353.4</v>
      </c>
      <c r="Z80" s="103">
        <v>179.46</v>
      </c>
      <c r="AA80" s="103">
        <v>65.38</v>
      </c>
      <c r="AB80" s="103">
        <v>35.01</v>
      </c>
      <c r="AC80" s="33">
        <f>SUM(Q80:AB80)</f>
        <v>3835.53</v>
      </c>
    </row>
    <row r="84" spans="1:29" x14ac:dyDescent="0.25">
      <c r="A84" s="160" t="s">
        <v>29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  <c r="P84" s="160" t="s">
        <v>29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2"/>
    </row>
    <row r="85" spans="1:29" x14ac:dyDescent="0.25">
      <c r="A85" s="51"/>
      <c r="B85" s="52" t="s">
        <v>1</v>
      </c>
      <c r="C85" s="52" t="s">
        <v>2</v>
      </c>
      <c r="D85" s="52" t="s">
        <v>3</v>
      </c>
      <c r="E85" s="52" t="s">
        <v>4</v>
      </c>
      <c r="F85" s="52" t="s">
        <v>5</v>
      </c>
      <c r="G85" s="52" t="s">
        <v>6</v>
      </c>
      <c r="H85" s="52" t="s">
        <v>7</v>
      </c>
      <c r="I85" s="52" t="s">
        <v>8</v>
      </c>
      <c r="J85" s="52" t="s">
        <v>9</v>
      </c>
      <c r="K85" s="52" t="s">
        <v>10</v>
      </c>
      <c r="L85" s="52" t="s">
        <v>11</v>
      </c>
      <c r="M85" s="52" t="s">
        <v>12</v>
      </c>
      <c r="N85" s="52" t="s">
        <v>25</v>
      </c>
      <c r="P85" s="51"/>
      <c r="Q85" s="52" t="s">
        <v>1</v>
      </c>
      <c r="R85" s="52" t="s">
        <v>2</v>
      </c>
      <c r="S85" s="52" t="s">
        <v>3</v>
      </c>
      <c r="T85" s="52" t="s">
        <v>4</v>
      </c>
      <c r="U85" s="52" t="s">
        <v>5</v>
      </c>
      <c r="V85" s="52" t="s">
        <v>6</v>
      </c>
      <c r="W85" s="52" t="s">
        <v>7</v>
      </c>
      <c r="X85" s="52" t="s">
        <v>8</v>
      </c>
      <c r="Y85" s="52" t="s">
        <v>9</v>
      </c>
      <c r="Z85" s="52" t="s">
        <v>10</v>
      </c>
      <c r="AA85" s="52" t="s">
        <v>11</v>
      </c>
      <c r="AB85" s="52" t="s">
        <v>12</v>
      </c>
      <c r="AC85" s="52" t="s">
        <v>25</v>
      </c>
    </row>
    <row r="86" spans="1:29" x14ac:dyDescent="0.25">
      <c r="A86" s="53" t="s">
        <v>23</v>
      </c>
      <c r="B86" s="56">
        <f>MAX(B10:B42,B44:B46,B48:B51,B54,B56:B57,B59:B65,B67:B74,B76:B80)</f>
        <v>94.01</v>
      </c>
      <c r="C86" s="56">
        <f>MAX(C10:C42,C44:C49,C51:C54,C56:C80)</f>
        <v>185.6</v>
      </c>
      <c r="D86" s="56">
        <f>MAX(D10:D53,D55:D59,D61:D62,D64:D80)</f>
        <v>412.99</v>
      </c>
      <c r="E86" s="56">
        <f>MAX(E10:E41,E44:E49,E51:E56,E58:E59,E61:E68,E70,E72,E74:E80)</f>
        <v>577.19000000000005</v>
      </c>
      <c r="F86" s="56">
        <f>MAX(F10,F12:F41,F44:F45,F48:F49,F52,F54,F56,F58:F67,F69,F71:F72,F74:F80)</f>
        <v>753.58</v>
      </c>
      <c r="G86" s="56">
        <f>MAX(G10:G44,G48:G49,G51,G53,G56:G62,G64:G67,G69:G75,G78:G80)</f>
        <v>820.07</v>
      </c>
      <c r="H86" s="56">
        <f>MAX(H10:H38,H40:H41,H43:H46,H48:H49,H51:H52,H54:H62,H64:H67,H69:H80)</f>
        <v>971.48</v>
      </c>
      <c r="I86" s="56">
        <f>MAX(I10:I41,I44,I46:I48,I51:I52,I55:I67,I69:I80)</f>
        <v>642.99</v>
      </c>
      <c r="J86" s="56">
        <f>MAX(J10:J41,J44:J49,J51:J55,J57:J66,J68:J80)</f>
        <v>401.16</v>
      </c>
      <c r="K86" s="56">
        <f>MAX(K10:K41,K44,K46:K51,K53:K58,K60:K62,K66,K68:K80)</f>
        <v>240.42188440000001</v>
      </c>
      <c r="L86" s="56">
        <f>MAX(L10:L41,L44,L46:L48,L50:L51,L54:L62,L64,L66:L67,L70:L73,L75:L80)</f>
        <v>83.28</v>
      </c>
      <c r="M86" s="56">
        <f>MAX(M10:M41,M44:M47,M50,M53,M55,M57:M64,M66:M67,M69:M73,M75,M79:M80)</f>
        <v>59.22</v>
      </c>
      <c r="N86" s="99">
        <f>MAX(N10,N12:N38,N40:N41,N44,N61:N62,N72,N79:N80)</f>
        <v>4188.7299999999996</v>
      </c>
      <c r="P86" s="53" t="s">
        <v>23</v>
      </c>
      <c r="Q86" s="56">
        <f>MAX(Q37,Q39:Q49,Q51:Q67,Q69:Q74,Q76:Q80)</f>
        <v>93</v>
      </c>
      <c r="R86" s="56">
        <f>MAX(R37,R39:R48,R50:R80)</f>
        <v>180.74</v>
      </c>
      <c r="S86" s="56">
        <f>MAX(S37,S39:S80)</f>
        <v>379.71</v>
      </c>
      <c r="T86" s="56">
        <f>MAX(T37,T39:T50,T52:T80)</f>
        <v>565.41999999999996</v>
      </c>
      <c r="U86" s="56">
        <f>MAX(U37,U39:U60,U62:U80)</f>
        <v>763.85</v>
      </c>
      <c r="V86" s="56">
        <f>MAX(V37,V39:V75,V77:V80)</f>
        <v>762.85</v>
      </c>
      <c r="W86" s="56">
        <f>MAX(W37:W80)</f>
        <v>708.3</v>
      </c>
      <c r="X86" s="56">
        <f>MAX(X37:X80)</f>
        <v>642.91999999999996</v>
      </c>
      <c r="Y86" s="56">
        <f>MAX(Y37:Y65,Y67:Y80)</f>
        <v>425.19</v>
      </c>
      <c r="Z86" s="56">
        <f>MAX(Z37:Z70,Z72:Z76,Z78:Z80)</f>
        <v>213.43</v>
      </c>
      <c r="AA86" s="56">
        <f>MAX(AA37:AA80)</f>
        <v>80.77</v>
      </c>
      <c r="AB86" s="56">
        <f>MAX(AB37:AB42,AB44:AB60,AB62:AB80)</f>
        <v>62.2</v>
      </c>
      <c r="AC86" s="99">
        <f>MAX(AC37,AC39:AC42,AC44:AC48,AC52:AC60,AC62:AC65,AC67,P87,AC69:AC70,AC72:AC74,AC78:AC80)</f>
        <v>4204.5100000000011</v>
      </c>
    </row>
    <row r="87" spans="1:29" x14ac:dyDescent="0.25">
      <c r="A87" s="51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P87" s="51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1:29" x14ac:dyDescent="0.25">
      <c r="A88" s="54" t="s">
        <v>24</v>
      </c>
      <c r="B88" s="55">
        <f>MIN(B10:B42,B44:B46,B48:B51,B54,B56:B57,B59:B65,B67:B74,B76:B80)</f>
        <v>24.73</v>
      </c>
      <c r="C88" s="55">
        <f>MIN(C10:C42,C44:C49,C51:C54,C56:C80)</f>
        <v>55</v>
      </c>
      <c r="D88" s="55">
        <f>MAX(D10:D53,D55:D59,D61:D62,D64:D80)</f>
        <v>412.99</v>
      </c>
      <c r="E88" s="55">
        <f>MIN(E10:E41,E44:E49,E51:E56,E58:E59,E61:E68,E70,E72,E74:E80)</f>
        <v>193</v>
      </c>
      <c r="F88" s="55">
        <f>MIN(F10,F12:F41,F44:F45,F48:F49,F52,F54,F56,F58:F67,F69,F71:F72,F74:F80)</f>
        <v>393.56</v>
      </c>
      <c r="G88" s="55">
        <f>MIN(G10:G44,G48:G49,G51,G53,G56:G62,G64:G67,G69:G75,G78:G80)</f>
        <v>330.95</v>
      </c>
      <c r="H88" s="55">
        <f>MIN(H10:H38,H40:H41,H43:H46,H48:H49,H51:H52,H54:H62,H64:H67,H69:H80)</f>
        <v>381</v>
      </c>
      <c r="I88" s="55">
        <f>MIN(I10:I41,I44,I46:I48,I51:I52,I55:I67,I69:I80)</f>
        <v>339.13</v>
      </c>
      <c r="J88" s="55">
        <f>MIN(J10:J41,J44:J49,J51:J55,J57:J66,J68:J80)</f>
        <v>196.78</v>
      </c>
      <c r="K88" s="55">
        <f>MIN(K10:K41,K44,K46:K51,K53:K58,K60:K62,K66,K68:K80)</f>
        <v>50.241999999999997</v>
      </c>
      <c r="L88" s="55">
        <f>MIN(L10:L41,L44,L46:L48,L50:L51,L54:L62,L64,L66:L67,L70:L73,L75:L80)</f>
        <v>28.052</v>
      </c>
      <c r="M88" s="55">
        <f>MIN(M10:M41,M44:M47,M50,M53,M55,M57:M64,M66:M67,M69:M73,M75,M79:M80)</f>
        <v>17</v>
      </c>
      <c r="N88" s="99">
        <f>MIN(N10,N12:N38,N40:N41,N44,N61:N62,N72,N79:N80)</f>
        <v>2930.7420000000002</v>
      </c>
      <c r="P88" s="54" t="s">
        <v>24</v>
      </c>
      <c r="Q88" s="55">
        <f>MIN(Q37,Q39:Q49,Q51:Q67,Q69:Q74,Q76:Q80)</f>
        <v>39.729999999999997</v>
      </c>
      <c r="R88" s="55">
        <f>MIN(R37,R39:R48,R50:R80)</f>
        <v>78.900000000000006</v>
      </c>
      <c r="S88" s="55">
        <f>MIN(S37,S39:S80)</f>
        <v>160.37</v>
      </c>
      <c r="T88" s="55">
        <f>MIN(T37,T39:T50,T52:T80)</f>
        <v>225.22</v>
      </c>
      <c r="U88" s="55">
        <f>MIN(U37,U39:U60,U62:U80)</f>
        <v>427.42</v>
      </c>
      <c r="V88" s="55">
        <f>MIN(V37,V39:V75,V77:V80)</f>
        <v>376.82</v>
      </c>
      <c r="W88" s="55">
        <f>MIN(W37:W80)</f>
        <v>379.87</v>
      </c>
      <c r="X88" s="55">
        <f>MIN(X37:X80)</f>
        <v>335.03</v>
      </c>
      <c r="Y88" s="55">
        <f>MIN(Y37:Y65,Y67:Y80)</f>
        <v>194.96</v>
      </c>
      <c r="Z88" s="55">
        <f>MIN(Z37:Z70,Z72:Z76,Z78:Z80)</f>
        <v>100.05</v>
      </c>
      <c r="AA88" s="55">
        <f>MIN(AA37:AA80)</f>
        <v>42.6</v>
      </c>
      <c r="AB88" s="55">
        <f>MIN(AB37:AB42,AB44:AB60,AB62:AB80)</f>
        <v>21.7</v>
      </c>
      <c r="AC88" s="99">
        <f>MIN(AC37,AC39:AC42,AC44:AC48,AC52:AC60,AC62:AC65,AC67,AC69:AC70,AC72:AC74,AC78:AC80)</f>
        <v>2902.0199999999995</v>
      </c>
    </row>
    <row r="92" spans="1:29" ht="7.5" customHeight="1" x14ac:dyDescent="0.25"/>
  </sheetData>
  <mergeCells count="4">
    <mergeCell ref="A84:N84"/>
    <mergeCell ref="P84:AC84"/>
    <mergeCell ref="B9:J9"/>
    <mergeCell ref="Q9:Y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3A6F-CA9F-4EB8-A8A8-A8337221D45D}">
  <dimension ref="A1:AC88"/>
  <sheetViews>
    <sheetView zoomScale="60" zoomScaleNormal="60" workbookViewId="0">
      <selection activeCell="K3" sqref="K3"/>
    </sheetView>
  </sheetViews>
  <sheetFormatPr defaultRowHeight="15" x14ac:dyDescent="0.25"/>
  <cols>
    <col min="1" max="1" width="18.140625" customWidth="1"/>
    <col min="2" max="2" width="11" customWidth="1"/>
    <col min="9" max="9" width="10.85546875" customWidth="1"/>
    <col min="12" max="12" width="12.5703125" customWidth="1"/>
    <col min="15" max="15" width="15.28515625" customWidth="1"/>
    <col min="16" max="16" width="18.140625" customWidth="1"/>
    <col min="17" max="17" width="11" customWidth="1"/>
    <col min="24" max="24" width="10.85546875" customWidth="1"/>
    <col min="27" max="27" width="12.5703125" customWidth="1"/>
  </cols>
  <sheetData>
    <row r="1" spans="1:29" ht="15.75" x14ac:dyDescent="0.25">
      <c r="A1" s="141" t="s">
        <v>53</v>
      </c>
      <c r="O1" s="140"/>
      <c r="P1" s="141" t="s">
        <v>39</v>
      </c>
    </row>
    <row r="2" spans="1:29" x14ac:dyDescent="0.25">
      <c r="A2" s="6" t="s">
        <v>15</v>
      </c>
      <c r="O2" s="140"/>
      <c r="P2" s="6" t="s">
        <v>15</v>
      </c>
    </row>
    <row r="3" spans="1:29" x14ac:dyDescent="0.25">
      <c r="A3" s="6" t="s">
        <v>20</v>
      </c>
      <c r="O3" s="140"/>
      <c r="P3" s="6" t="s">
        <v>40</v>
      </c>
    </row>
    <row r="4" spans="1:29" x14ac:dyDescent="0.25">
      <c r="A4" s="96"/>
      <c r="B4" s="3" t="s">
        <v>33</v>
      </c>
      <c r="O4" s="140"/>
      <c r="P4" s="137"/>
      <c r="Q4" s="3" t="s">
        <v>33</v>
      </c>
    </row>
    <row r="5" spans="1:29" x14ac:dyDescent="0.25">
      <c r="A5" s="43"/>
      <c r="B5" t="s">
        <v>57</v>
      </c>
      <c r="O5" s="140"/>
      <c r="P5" s="138"/>
      <c r="Q5" t="s">
        <v>57</v>
      </c>
    </row>
    <row r="6" spans="1:29" x14ac:dyDescent="0.25">
      <c r="O6" s="140"/>
    </row>
    <row r="7" spans="1:29" x14ac:dyDescent="0.25">
      <c r="O7" s="140"/>
    </row>
    <row r="8" spans="1:29" x14ac:dyDescent="0.25">
      <c r="A8" s="52" t="s">
        <v>0</v>
      </c>
      <c r="B8" s="54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4" t="s">
        <v>7</v>
      </c>
      <c r="I8" s="54" t="s">
        <v>8</v>
      </c>
      <c r="J8" s="54" t="s">
        <v>9</v>
      </c>
      <c r="K8" s="54" t="s">
        <v>10</v>
      </c>
      <c r="L8" s="54" t="s">
        <v>11</v>
      </c>
      <c r="M8" s="155" t="s">
        <v>12</v>
      </c>
      <c r="N8" s="54" t="s">
        <v>25</v>
      </c>
      <c r="P8" s="52" t="s">
        <v>0</v>
      </c>
      <c r="Q8" s="54" t="s">
        <v>1</v>
      </c>
      <c r="R8" s="54" t="s">
        <v>2</v>
      </c>
      <c r="S8" s="54" t="s">
        <v>3</v>
      </c>
      <c r="T8" s="54" t="s">
        <v>4</v>
      </c>
      <c r="U8" s="54" t="s">
        <v>5</v>
      </c>
      <c r="V8" s="54" t="s">
        <v>6</v>
      </c>
      <c r="W8" s="54" t="s">
        <v>7</v>
      </c>
      <c r="X8" s="54" t="s">
        <v>8</v>
      </c>
      <c r="Y8" s="54" t="s">
        <v>9</v>
      </c>
      <c r="Z8" s="54" t="s">
        <v>10</v>
      </c>
      <c r="AA8" s="54" t="s">
        <v>11</v>
      </c>
      <c r="AB8" s="155" t="s">
        <v>12</v>
      </c>
      <c r="AC8" s="54" t="s">
        <v>25</v>
      </c>
    </row>
    <row r="9" spans="1:29" x14ac:dyDescent="0.25">
      <c r="A9" s="52">
        <v>1954</v>
      </c>
      <c r="B9" s="163" t="s">
        <v>50</v>
      </c>
      <c r="C9" s="164"/>
      <c r="D9" s="164"/>
      <c r="E9" s="164"/>
      <c r="F9" s="164"/>
      <c r="G9" s="164"/>
      <c r="H9" s="164"/>
      <c r="I9" s="164"/>
      <c r="J9" s="165"/>
      <c r="K9" s="38"/>
      <c r="L9" s="38"/>
      <c r="M9" s="45"/>
      <c r="N9" s="38"/>
      <c r="P9" s="52">
        <v>1954</v>
      </c>
      <c r="Q9" s="163" t="s">
        <v>50</v>
      </c>
      <c r="R9" s="164"/>
      <c r="S9" s="164"/>
      <c r="T9" s="164"/>
      <c r="U9" s="164"/>
      <c r="V9" s="164"/>
      <c r="W9" s="164"/>
      <c r="X9" s="164"/>
      <c r="Y9" s="165"/>
      <c r="Z9" s="38"/>
      <c r="AA9" s="38"/>
      <c r="AB9" s="45"/>
      <c r="AC9" s="38"/>
    </row>
    <row r="10" spans="1:29" x14ac:dyDescent="0.25">
      <c r="A10" s="52">
        <v>1955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45"/>
      <c r="N10" s="38"/>
      <c r="P10" s="52">
        <v>1955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45"/>
      <c r="AC10" s="38"/>
    </row>
    <row r="11" spans="1:29" x14ac:dyDescent="0.25">
      <c r="A11" s="52">
        <v>1956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5"/>
      <c r="N11" s="38"/>
      <c r="P11" s="52">
        <v>1956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45"/>
      <c r="AC11" s="38"/>
    </row>
    <row r="12" spans="1:29" x14ac:dyDescent="0.25">
      <c r="A12" s="52">
        <v>1957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5"/>
      <c r="N12" s="38"/>
      <c r="P12" s="52">
        <v>1957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45"/>
      <c r="AC12" s="38"/>
    </row>
    <row r="13" spans="1:29" x14ac:dyDescent="0.25">
      <c r="A13" s="52">
        <v>1958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5"/>
      <c r="N13" s="38"/>
      <c r="P13" s="52">
        <v>1958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5"/>
      <c r="AC13" s="38"/>
    </row>
    <row r="14" spans="1:29" x14ac:dyDescent="0.25">
      <c r="A14" s="52">
        <v>1959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5"/>
      <c r="N14" s="38"/>
      <c r="P14" s="52">
        <v>1959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5"/>
      <c r="AC14" s="38"/>
    </row>
    <row r="15" spans="1:29" x14ac:dyDescent="0.25">
      <c r="A15" s="52">
        <v>1960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5"/>
      <c r="N15" s="38"/>
      <c r="P15" s="52">
        <v>1960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5"/>
      <c r="AC15" s="38"/>
    </row>
    <row r="16" spans="1:29" x14ac:dyDescent="0.25">
      <c r="A16" s="52">
        <v>1961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5"/>
      <c r="N16" s="38"/>
      <c r="P16" s="52">
        <v>1961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5"/>
      <c r="AC16" s="38"/>
    </row>
    <row r="17" spans="1:29" x14ac:dyDescent="0.25">
      <c r="A17" s="52">
        <v>1962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5"/>
      <c r="N17" s="38"/>
      <c r="P17" s="52">
        <v>1962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5"/>
      <c r="AC17" s="38"/>
    </row>
    <row r="18" spans="1:29" x14ac:dyDescent="0.25">
      <c r="A18" s="52">
        <v>1963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5"/>
      <c r="N18" s="38"/>
      <c r="P18" s="52">
        <v>1963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45"/>
      <c r="AC18" s="38"/>
    </row>
    <row r="19" spans="1:29" x14ac:dyDescent="0.25">
      <c r="A19" s="52">
        <v>1964</v>
      </c>
      <c r="B19" s="4">
        <v>20.934000000000001</v>
      </c>
      <c r="C19" s="4">
        <v>92.11</v>
      </c>
      <c r="D19" s="4">
        <v>92.11</v>
      </c>
      <c r="E19" s="4">
        <v>58.615000000000002</v>
      </c>
      <c r="F19" s="4">
        <v>121.42</v>
      </c>
      <c r="G19" s="4">
        <v>117.23</v>
      </c>
      <c r="H19" s="4">
        <v>113.04</v>
      </c>
      <c r="I19" s="4">
        <v>87.923000000000002</v>
      </c>
      <c r="J19" s="4">
        <v>66.989000000000004</v>
      </c>
      <c r="K19" s="4">
        <v>29.308</v>
      </c>
      <c r="L19" s="4">
        <v>12.56</v>
      </c>
      <c r="M19" s="46">
        <v>8.3735999999999997</v>
      </c>
      <c r="N19" s="4">
        <f>SUM(B19:M19)</f>
        <v>820.61260000000004</v>
      </c>
      <c r="P19" s="52">
        <v>1964</v>
      </c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63"/>
      <c r="AC19" s="40"/>
    </row>
    <row r="20" spans="1:29" x14ac:dyDescent="0.25">
      <c r="A20" s="52">
        <v>1965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6">
        <v>16.747</v>
      </c>
      <c r="N20" s="90">
        <f t="shared" ref="N20:N77" si="0">SUM(B20:M20)</f>
        <v>16.747</v>
      </c>
      <c r="P20" s="52">
        <v>1965</v>
      </c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63"/>
      <c r="AC20" s="40"/>
    </row>
    <row r="21" spans="1:29" x14ac:dyDescent="0.25">
      <c r="A21" s="52">
        <v>1966</v>
      </c>
      <c r="B21" s="4">
        <v>25.120999999999999</v>
      </c>
      <c r="C21" s="4">
        <v>41.868000000000002</v>
      </c>
      <c r="D21" s="4">
        <v>33.494</v>
      </c>
      <c r="E21" s="4">
        <v>75.361999999999995</v>
      </c>
      <c r="F21" s="4">
        <v>83.736000000000004</v>
      </c>
      <c r="G21" s="4">
        <v>125.6</v>
      </c>
      <c r="H21" s="4">
        <v>113.04</v>
      </c>
      <c r="I21" s="4">
        <v>92.11</v>
      </c>
      <c r="J21" s="4">
        <v>46.055</v>
      </c>
      <c r="K21" s="4">
        <v>33.494</v>
      </c>
      <c r="L21" s="4">
        <v>12.56</v>
      </c>
      <c r="M21" s="46">
        <v>12.56</v>
      </c>
      <c r="N21" s="4">
        <f t="shared" si="0"/>
        <v>694.99999999999989</v>
      </c>
      <c r="P21" s="52">
        <v>1966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63"/>
      <c r="AC21" s="40"/>
    </row>
    <row r="22" spans="1:29" x14ac:dyDescent="0.25">
      <c r="A22" s="52">
        <v>1967</v>
      </c>
      <c r="B22" s="4">
        <v>33.494</v>
      </c>
      <c r="C22" s="4">
        <v>29.308</v>
      </c>
      <c r="D22" s="4">
        <v>33.494</v>
      </c>
      <c r="E22" s="4">
        <v>58.615000000000002</v>
      </c>
      <c r="F22" s="4">
        <v>96.296000000000006</v>
      </c>
      <c r="G22" s="4">
        <v>104.67</v>
      </c>
      <c r="H22" s="4">
        <v>100.48</v>
      </c>
      <c r="I22" s="4">
        <v>75.361999999999995</v>
      </c>
      <c r="J22" s="4">
        <v>58.615000000000002</v>
      </c>
      <c r="K22" s="4">
        <v>29.308</v>
      </c>
      <c r="L22" s="4">
        <v>8.3735999999999997</v>
      </c>
      <c r="M22" s="46">
        <v>20.934000000000001</v>
      </c>
      <c r="N22" s="4">
        <f t="shared" si="0"/>
        <v>648.94960000000003</v>
      </c>
      <c r="P22" s="52">
        <v>1967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63"/>
      <c r="AC22" s="40"/>
    </row>
    <row r="23" spans="1:29" x14ac:dyDescent="0.25">
      <c r="A23" s="52">
        <v>1968</v>
      </c>
      <c r="B23" s="4">
        <v>75.361999999999995</v>
      </c>
      <c r="C23" s="4">
        <v>71.176000000000002</v>
      </c>
      <c r="D23" s="4">
        <v>92.11</v>
      </c>
      <c r="E23" s="4">
        <v>71.176000000000002</v>
      </c>
      <c r="F23" s="4">
        <v>92.11</v>
      </c>
      <c r="G23" s="4">
        <v>125.6</v>
      </c>
      <c r="H23" s="4">
        <v>125.6</v>
      </c>
      <c r="I23" s="4">
        <v>104.67</v>
      </c>
      <c r="J23" s="4">
        <v>66.989000000000004</v>
      </c>
      <c r="K23" s="4">
        <v>25.120999999999999</v>
      </c>
      <c r="L23" s="4">
        <v>12.56</v>
      </c>
      <c r="M23" s="46">
        <v>8.3735999999999997</v>
      </c>
      <c r="N23" s="4">
        <f t="shared" si="0"/>
        <v>870.84759999999994</v>
      </c>
      <c r="P23" s="52">
        <v>1968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63"/>
      <c r="AC23" s="40"/>
    </row>
    <row r="24" spans="1:29" x14ac:dyDescent="0.25">
      <c r="A24" s="52">
        <v>1969</v>
      </c>
      <c r="B24" s="4">
        <v>25.120999999999999</v>
      </c>
      <c r="C24" s="4">
        <v>62.802</v>
      </c>
      <c r="D24" s="4">
        <v>92.11</v>
      </c>
      <c r="E24" s="4">
        <v>54.427999999999997</v>
      </c>
      <c r="F24" s="4">
        <v>104.67</v>
      </c>
      <c r="G24" s="4">
        <v>129.79</v>
      </c>
      <c r="H24" s="4">
        <v>117.23</v>
      </c>
      <c r="I24" s="4">
        <v>83.736000000000004</v>
      </c>
      <c r="J24" s="4">
        <v>46.055</v>
      </c>
      <c r="K24" s="4">
        <v>25.120999999999999</v>
      </c>
      <c r="L24" s="4">
        <v>12.56</v>
      </c>
      <c r="M24" s="46">
        <v>25.120999999999999</v>
      </c>
      <c r="N24" s="4">
        <f t="shared" si="0"/>
        <v>778.74399999999991</v>
      </c>
      <c r="P24" s="52">
        <v>1969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63"/>
      <c r="AC24" s="40"/>
    </row>
    <row r="25" spans="1:29" x14ac:dyDescent="0.25">
      <c r="A25" s="52">
        <v>1970</v>
      </c>
      <c r="B25" s="4">
        <v>33.494</v>
      </c>
      <c r="C25" s="2">
        <v>75.361999999999995</v>
      </c>
      <c r="D25" s="4">
        <v>108.86</v>
      </c>
      <c r="E25" s="4">
        <v>50.241999999999997</v>
      </c>
      <c r="F25" s="4">
        <v>104.67</v>
      </c>
      <c r="G25" s="4">
        <v>125.6</v>
      </c>
      <c r="H25" s="4">
        <v>92.11</v>
      </c>
      <c r="I25" s="4">
        <v>100.48</v>
      </c>
      <c r="J25" s="4">
        <v>58.615000000000002</v>
      </c>
      <c r="K25" s="4">
        <v>29.308</v>
      </c>
      <c r="L25" s="4">
        <v>8.3735999999999997</v>
      </c>
      <c r="M25" s="46">
        <v>12.56</v>
      </c>
      <c r="N25" s="4">
        <f t="shared" si="0"/>
        <v>799.67460000000005</v>
      </c>
      <c r="P25" s="52">
        <v>1970</v>
      </c>
      <c r="Q25" s="40"/>
      <c r="R25" s="38"/>
      <c r="S25" s="40"/>
      <c r="T25" s="40"/>
      <c r="U25" s="40"/>
      <c r="V25" s="40"/>
      <c r="W25" s="40"/>
      <c r="X25" s="40"/>
      <c r="Y25" s="40"/>
      <c r="Z25" s="40"/>
      <c r="AA25" s="40"/>
      <c r="AB25" s="63"/>
      <c r="AC25" s="40"/>
    </row>
    <row r="26" spans="1:29" x14ac:dyDescent="0.25">
      <c r="A26" s="52">
        <v>1971</v>
      </c>
      <c r="B26" s="4">
        <v>20.934000000000001</v>
      </c>
      <c r="C26" s="4">
        <v>20.934000000000001</v>
      </c>
      <c r="D26" s="4">
        <v>62.802</v>
      </c>
      <c r="E26" s="4">
        <v>66.989000000000004</v>
      </c>
      <c r="F26" s="4">
        <v>117.23</v>
      </c>
      <c r="G26" s="4">
        <v>104.67</v>
      </c>
      <c r="H26" s="4">
        <v>121.42</v>
      </c>
      <c r="I26" s="4">
        <v>96.296000000000006</v>
      </c>
      <c r="J26" s="4">
        <v>46.055</v>
      </c>
      <c r="K26" s="4">
        <v>25.120999999999999</v>
      </c>
      <c r="L26" s="4">
        <v>16.747</v>
      </c>
      <c r="M26" s="46">
        <v>8.3735999999999997</v>
      </c>
      <c r="N26" s="4">
        <f t="shared" si="0"/>
        <v>707.57159999999999</v>
      </c>
      <c r="P26" s="52">
        <v>1971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63"/>
      <c r="AC26" s="40"/>
    </row>
    <row r="27" spans="1:29" x14ac:dyDescent="0.25">
      <c r="A27" s="52">
        <v>1972</v>
      </c>
      <c r="B27" s="4">
        <v>20.934000000000001</v>
      </c>
      <c r="C27" s="4">
        <v>20.934000000000001</v>
      </c>
      <c r="D27" s="4">
        <v>58.615000000000002</v>
      </c>
      <c r="E27" s="4">
        <v>54.427999999999997</v>
      </c>
      <c r="F27" s="4">
        <v>79.549000000000007</v>
      </c>
      <c r="G27" s="4">
        <v>100.48</v>
      </c>
      <c r="H27" s="4">
        <v>113.04</v>
      </c>
      <c r="I27" s="4">
        <v>66.989000000000004</v>
      </c>
      <c r="J27" s="4">
        <v>54.427999999999997</v>
      </c>
      <c r="K27" s="4">
        <v>25.120999999999999</v>
      </c>
      <c r="L27" s="4">
        <v>8.3735999999999997</v>
      </c>
      <c r="M27" s="46">
        <v>8.3735999999999997</v>
      </c>
      <c r="N27" s="4">
        <f t="shared" si="0"/>
        <v>611.26520000000005</v>
      </c>
      <c r="P27" s="52">
        <v>1972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63"/>
      <c r="AC27" s="40"/>
    </row>
    <row r="28" spans="1:29" x14ac:dyDescent="0.25">
      <c r="A28" s="52">
        <v>1973</v>
      </c>
      <c r="B28" s="4">
        <v>8.3735999999999997</v>
      </c>
      <c r="C28" s="4">
        <v>16.747</v>
      </c>
      <c r="D28" s="4">
        <v>37.680999999999997</v>
      </c>
      <c r="E28" s="4">
        <v>58.615000000000002</v>
      </c>
      <c r="F28" s="4">
        <v>104.67</v>
      </c>
      <c r="G28" s="4">
        <v>117.23</v>
      </c>
      <c r="H28" s="4">
        <v>113.04</v>
      </c>
      <c r="I28" s="4">
        <v>113.04</v>
      </c>
      <c r="J28" s="4">
        <v>58.615000000000002</v>
      </c>
      <c r="K28" s="4">
        <v>41.868000000000002</v>
      </c>
      <c r="L28" s="4">
        <v>20.934000000000001</v>
      </c>
      <c r="M28" s="46">
        <v>16.747</v>
      </c>
      <c r="N28" s="4">
        <f t="shared" si="0"/>
        <v>707.56060000000002</v>
      </c>
      <c r="P28" s="52">
        <v>1973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63"/>
      <c r="AC28" s="40"/>
    </row>
    <row r="29" spans="1:29" x14ac:dyDescent="0.25">
      <c r="A29" s="52">
        <v>1974</v>
      </c>
      <c r="B29" s="4">
        <v>8.3735999999999997</v>
      </c>
      <c r="C29" s="4">
        <v>20.934000000000001</v>
      </c>
      <c r="D29" s="4">
        <v>50.241999999999997</v>
      </c>
      <c r="E29" s="4">
        <v>71.176000000000002</v>
      </c>
      <c r="F29" s="4">
        <v>87.923000000000002</v>
      </c>
      <c r="G29" s="4">
        <v>92.11</v>
      </c>
      <c r="H29" s="4">
        <v>75.361999999999995</v>
      </c>
      <c r="I29" s="4">
        <v>87.923000000000002</v>
      </c>
      <c r="J29" s="4">
        <v>66.989000000000004</v>
      </c>
      <c r="K29" s="4">
        <v>12.56</v>
      </c>
      <c r="L29" s="4">
        <v>8.3735999999999997</v>
      </c>
      <c r="M29" s="46">
        <v>8.3735999999999997</v>
      </c>
      <c r="N29" s="4">
        <f t="shared" si="0"/>
        <v>590.33979999999997</v>
      </c>
      <c r="P29" s="52">
        <v>1974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63"/>
      <c r="AC29" s="40"/>
    </row>
    <row r="30" spans="1:29" x14ac:dyDescent="0.25">
      <c r="A30" s="52">
        <v>1975</v>
      </c>
      <c r="B30" s="4">
        <v>8.3735999999999997</v>
      </c>
      <c r="C30" s="4">
        <v>25.120999999999999</v>
      </c>
      <c r="D30" s="4">
        <v>41.868000000000002</v>
      </c>
      <c r="E30" s="4">
        <v>46.055</v>
      </c>
      <c r="F30" s="4">
        <v>100.48</v>
      </c>
      <c r="G30" s="4">
        <v>113.04</v>
      </c>
      <c r="H30" s="4">
        <v>113.04</v>
      </c>
      <c r="I30" s="4">
        <v>92.11</v>
      </c>
      <c r="J30" s="4">
        <v>71.176000000000002</v>
      </c>
      <c r="K30" s="4">
        <v>29.308</v>
      </c>
      <c r="L30" s="4">
        <v>20.934000000000001</v>
      </c>
      <c r="M30" s="46">
        <v>12.56</v>
      </c>
      <c r="N30" s="4">
        <f t="shared" si="0"/>
        <v>674.06560000000002</v>
      </c>
      <c r="P30" s="52">
        <v>1975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63"/>
      <c r="AC30" s="40"/>
    </row>
    <row r="31" spans="1:29" x14ac:dyDescent="0.25">
      <c r="A31" s="52">
        <v>1976</v>
      </c>
      <c r="B31" s="4">
        <v>27.213999999999999</v>
      </c>
      <c r="C31" s="4">
        <v>67.406999999999996</v>
      </c>
      <c r="D31" s="4">
        <v>68.245000000000005</v>
      </c>
      <c r="E31" s="4">
        <v>69.501000000000005</v>
      </c>
      <c r="F31" s="4">
        <v>101.74</v>
      </c>
      <c r="G31" s="4">
        <v>118.07</v>
      </c>
      <c r="H31" s="4">
        <v>118.49</v>
      </c>
      <c r="I31" s="4">
        <v>95.878</v>
      </c>
      <c r="J31" s="4">
        <v>64.894999999999996</v>
      </c>
      <c r="K31" s="4">
        <v>27.632999999999999</v>
      </c>
      <c r="L31" s="4">
        <v>10.048</v>
      </c>
      <c r="M31" s="46">
        <v>13.398</v>
      </c>
      <c r="N31" s="4">
        <f t="shared" si="0"/>
        <v>782.51900000000001</v>
      </c>
      <c r="P31" s="52">
        <v>1976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63"/>
      <c r="AC31" s="40"/>
    </row>
    <row r="32" spans="1:29" x14ac:dyDescent="0.25">
      <c r="A32" s="52">
        <v>1977</v>
      </c>
      <c r="B32" s="4">
        <v>20.934000000000001</v>
      </c>
      <c r="C32" s="4">
        <v>42.286999999999999</v>
      </c>
      <c r="D32" s="4">
        <v>44.38</v>
      </c>
      <c r="E32" s="4">
        <v>44.798999999999999</v>
      </c>
      <c r="F32" s="4">
        <v>105.93</v>
      </c>
      <c r="G32" s="4">
        <v>119.74</v>
      </c>
      <c r="H32" s="4">
        <v>103.83</v>
      </c>
      <c r="I32" s="4">
        <v>99.227000000000004</v>
      </c>
      <c r="J32" s="4">
        <v>52.335000000000001</v>
      </c>
      <c r="K32" s="4">
        <v>23.446000000000002</v>
      </c>
      <c r="L32" s="4">
        <v>8.3735999999999997</v>
      </c>
      <c r="M32" s="46">
        <v>12.56</v>
      </c>
      <c r="N32" s="4">
        <f t="shared" si="0"/>
        <v>677.84160000000008</v>
      </c>
      <c r="P32" s="52">
        <v>1977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63"/>
      <c r="AC32" s="40"/>
    </row>
    <row r="33" spans="1:29" x14ac:dyDescent="0.25">
      <c r="A33" s="52">
        <v>1978</v>
      </c>
      <c r="B33" s="4">
        <v>23.864999999999998</v>
      </c>
      <c r="C33" s="4">
        <v>64.477000000000004</v>
      </c>
      <c r="D33" s="4">
        <v>55.265999999999998</v>
      </c>
      <c r="E33" s="4">
        <v>59.033999999999999</v>
      </c>
      <c r="F33" s="4">
        <v>108.86</v>
      </c>
      <c r="G33" s="4">
        <v>115.56</v>
      </c>
      <c r="H33" s="4">
        <v>104.25</v>
      </c>
      <c r="I33" s="4">
        <v>88.340999999999994</v>
      </c>
      <c r="J33" s="4">
        <v>48.148000000000003</v>
      </c>
      <c r="K33" s="4">
        <v>29.308</v>
      </c>
      <c r="L33" s="4">
        <v>8.3735999999999997</v>
      </c>
      <c r="M33" s="46">
        <v>13.816000000000001</v>
      </c>
      <c r="N33" s="4">
        <f t="shared" si="0"/>
        <v>719.29860000000008</v>
      </c>
      <c r="P33" s="52">
        <v>1978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63"/>
      <c r="AC33" s="40"/>
    </row>
    <row r="34" spans="1:29" x14ac:dyDescent="0.25">
      <c r="A34" s="52">
        <v>1979</v>
      </c>
      <c r="B34" s="4">
        <v>39.36</v>
      </c>
      <c r="C34" s="4">
        <v>105.089</v>
      </c>
      <c r="D34" s="4">
        <v>91.691000000000003</v>
      </c>
      <c r="E34" s="4">
        <v>69.081999999999994</v>
      </c>
      <c r="F34" s="4">
        <v>122.25</v>
      </c>
      <c r="G34" s="4">
        <v>145.28</v>
      </c>
      <c r="H34" s="4">
        <v>90.016000000000005</v>
      </c>
      <c r="I34" s="4">
        <v>82.899000000000001</v>
      </c>
      <c r="J34" s="4">
        <v>64.894999999999996</v>
      </c>
      <c r="K34" s="4">
        <v>52.753999999999998</v>
      </c>
      <c r="L34" s="4">
        <v>11.723000000000001</v>
      </c>
      <c r="M34" s="46">
        <v>9.2110000000000003</v>
      </c>
      <c r="N34" s="4">
        <f t="shared" si="0"/>
        <v>884.24999999999989</v>
      </c>
      <c r="P34" s="52">
        <v>1979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63"/>
      <c r="AC34" s="40"/>
    </row>
    <row r="35" spans="1:29" x14ac:dyDescent="0.25">
      <c r="A35" s="52">
        <v>1980</v>
      </c>
      <c r="B35" s="2">
        <v>37.479999999999997</v>
      </c>
      <c r="C35" s="2">
        <v>69.16</v>
      </c>
      <c r="D35" s="2">
        <v>221.08</v>
      </c>
      <c r="E35" s="2">
        <v>72.25</v>
      </c>
      <c r="F35" s="2">
        <v>108.85</v>
      </c>
      <c r="G35" s="2">
        <v>121.24</v>
      </c>
      <c r="H35" s="2">
        <v>99.38</v>
      </c>
      <c r="I35" s="2">
        <v>84.49</v>
      </c>
      <c r="J35" s="2">
        <v>59.9</v>
      </c>
      <c r="K35" s="2">
        <v>27.92</v>
      </c>
      <c r="L35" s="2">
        <v>29.89</v>
      </c>
      <c r="M35" s="156" t="s">
        <v>13</v>
      </c>
      <c r="N35" s="90">
        <f t="shared" si="0"/>
        <v>931.64</v>
      </c>
      <c r="P35" s="52">
        <v>1980</v>
      </c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70"/>
      <c r="AC35" s="40"/>
    </row>
    <row r="36" spans="1:29" x14ac:dyDescent="0.25">
      <c r="A36" s="52">
        <v>1981</v>
      </c>
      <c r="B36" s="24">
        <v>31.6</v>
      </c>
      <c r="C36" s="24">
        <v>65.75</v>
      </c>
      <c r="D36" s="24">
        <v>69.41</v>
      </c>
      <c r="E36" s="24">
        <v>70.069999999999993</v>
      </c>
      <c r="F36" s="24">
        <v>103.74</v>
      </c>
      <c r="G36" s="24">
        <v>97.33</v>
      </c>
      <c r="H36" s="24">
        <v>96.24</v>
      </c>
      <c r="I36" s="24">
        <v>81.7</v>
      </c>
      <c r="J36" s="24">
        <v>59.39</v>
      </c>
      <c r="K36" s="24">
        <v>21.68</v>
      </c>
      <c r="L36" s="24">
        <v>11.62</v>
      </c>
      <c r="M36" s="57">
        <v>23.1</v>
      </c>
      <c r="N36" s="4">
        <f t="shared" si="0"/>
        <v>731.63</v>
      </c>
      <c r="P36" s="52">
        <v>1981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8"/>
      <c r="AC36" s="40"/>
    </row>
    <row r="37" spans="1:29" x14ac:dyDescent="0.25">
      <c r="A37" s="52">
        <v>1982</v>
      </c>
      <c r="B37" s="25">
        <v>32.65</v>
      </c>
      <c r="C37" s="25">
        <v>50.28</v>
      </c>
      <c r="D37" s="25">
        <v>77.94</v>
      </c>
      <c r="E37" s="25">
        <v>62.52</v>
      </c>
      <c r="F37" s="25">
        <v>105.91</v>
      </c>
      <c r="G37" s="25">
        <v>120.75</v>
      </c>
      <c r="H37" s="25">
        <v>138.12</v>
      </c>
      <c r="I37" s="25">
        <v>93.55</v>
      </c>
      <c r="J37" s="25">
        <v>59.53</v>
      </c>
      <c r="K37" s="25">
        <v>34.17</v>
      </c>
      <c r="L37" s="25">
        <v>11.15</v>
      </c>
      <c r="M37" s="156" t="s">
        <v>13</v>
      </c>
      <c r="N37" s="90">
        <f t="shared" si="0"/>
        <v>786.56999999999994</v>
      </c>
      <c r="P37" s="52">
        <v>1982</v>
      </c>
      <c r="Q37" s="74">
        <v>39.08</v>
      </c>
      <c r="R37" s="74">
        <v>76.3</v>
      </c>
      <c r="S37" s="74">
        <v>105.33</v>
      </c>
      <c r="T37" s="74">
        <v>62.81</v>
      </c>
      <c r="U37" s="74">
        <v>123.44</v>
      </c>
      <c r="V37" s="74">
        <v>99.62</v>
      </c>
      <c r="W37" s="74">
        <v>125.33</v>
      </c>
      <c r="X37" s="74">
        <v>123.14</v>
      </c>
      <c r="Y37" s="74">
        <v>73.959999999999994</v>
      </c>
      <c r="Z37" s="74">
        <v>34.380000000000003</v>
      </c>
      <c r="AA37" s="74">
        <v>14.5</v>
      </c>
      <c r="AB37" s="110" t="s">
        <v>13</v>
      </c>
      <c r="AC37" s="90">
        <f t="shared" ref="AC37:AC44" si="1">SUM(Q37:AB37)</f>
        <v>877.89</v>
      </c>
    </row>
    <row r="38" spans="1:29" x14ac:dyDescent="0.25">
      <c r="A38" s="52">
        <v>1983</v>
      </c>
      <c r="B38" s="92" t="s">
        <v>13</v>
      </c>
      <c r="C38" s="25">
        <v>67</v>
      </c>
      <c r="D38" s="25">
        <v>41.97</v>
      </c>
      <c r="E38" s="25">
        <v>66.72</v>
      </c>
      <c r="F38" s="25">
        <v>109.96</v>
      </c>
      <c r="G38" s="25">
        <v>134.61000000000001</v>
      </c>
      <c r="H38" s="25">
        <v>135.02000000000001</v>
      </c>
      <c r="I38" s="25">
        <v>105.96</v>
      </c>
      <c r="J38" s="25">
        <v>54.68</v>
      </c>
      <c r="K38" s="25">
        <v>26.04</v>
      </c>
      <c r="L38" s="92" t="s">
        <v>13</v>
      </c>
      <c r="M38" s="58">
        <v>13.3</v>
      </c>
      <c r="N38" s="90">
        <f t="shared" si="0"/>
        <v>755.25999999999988</v>
      </c>
      <c r="P38" s="52">
        <v>1983</v>
      </c>
      <c r="Q38" s="92" t="s">
        <v>13</v>
      </c>
      <c r="R38" s="111" t="s">
        <v>13</v>
      </c>
      <c r="S38" s="111" t="s">
        <v>13</v>
      </c>
      <c r="T38" s="111" t="s">
        <v>13</v>
      </c>
      <c r="U38" s="111" t="s">
        <v>13</v>
      </c>
      <c r="V38" s="111" t="s">
        <v>13</v>
      </c>
      <c r="W38" s="74">
        <v>139.05000000000001</v>
      </c>
      <c r="X38" s="74">
        <v>115.66</v>
      </c>
      <c r="Y38" s="74">
        <v>46.81</v>
      </c>
      <c r="Z38" s="74">
        <v>27.19</v>
      </c>
      <c r="AA38" s="79">
        <v>31.82</v>
      </c>
      <c r="AB38" s="75">
        <v>15.79</v>
      </c>
      <c r="AC38" s="90">
        <f t="shared" si="1"/>
        <v>376.32</v>
      </c>
    </row>
    <row r="39" spans="1:29" x14ac:dyDescent="0.25">
      <c r="A39" s="52">
        <v>1984</v>
      </c>
      <c r="B39" s="92" t="s">
        <v>13</v>
      </c>
      <c r="C39" s="25">
        <v>62.47</v>
      </c>
      <c r="D39" s="25">
        <v>63.12</v>
      </c>
      <c r="E39" s="25">
        <v>80.349999999999994</v>
      </c>
      <c r="F39" s="25">
        <v>114.4</v>
      </c>
      <c r="G39" s="25">
        <v>102.87</v>
      </c>
      <c r="H39" s="92" t="s">
        <v>13</v>
      </c>
      <c r="I39" s="25">
        <v>103.96</v>
      </c>
      <c r="J39" s="25">
        <v>41.47</v>
      </c>
      <c r="K39" s="25">
        <v>22.55</v>
      </c>
      <c r="L39" s="25">
        <v>10.68</v>
      </c>
      <c r="M39" s="58">
        <v>9.7799999999999994</v>
      </c>
      <c r="N39" s="90">
        <f t="shared" si="0"/>
        <v>611.65</v>
      </c>
      <c r="P39" s="52">
        <v>1984</v>
      </c>
      <c r="Q39" s="79">
        <v>29.16</v>
      </c>
      <c r="R39" s="74">
        <v>76.989999999999995</v>
      </c>
      <c r="S39" s="74">
        <v>99.72</v>
      </c>
      <c r="T39" s="74">
        <v>91</v>
      </c>
      <c r="U39" s="74">
        <v>114.8</v>
      </c>
      <c r="V39" s="25">
        <v>108.44</v>
      </c>
      <c r="W39" s="112">
        <v>116.41</v>
      </c>
      <c r="X39" s="25">
        <v>135.63</v>
      </c>
      <c r="Y39" s="25">
        <v>48.38</v>
      </c>
      <c r="Z39" s="25">
        <v>27.06</v>
      </c>
      <c r="AA39" s="25">
        <v>10.48</v>
      </c>
      <c r="AB39" s="58">
        <v>9.25</v>
      </c>
      <c r="AC39" s="90">
        <f t="shared" si="1"/>
        <v>867.31999999999994</v>
      </c>
    </row>
    <row r="40" spans="1:29" x14ac:dyDescent="0.25">
      <c r="A40" s="52">
        <v>1985</v>
      </c>
      <c r="B40" s="25">
        <v>47.61</v>
      </c>
      <c r="C40" s="25">
        <v>100.2</v>
      </c>
      <c r="D40" s="25">
        <v>82.26</v>
      </c>
      <c r="E40" s="25">
        <v>60.26</v>
      </c>
      <c r="F40" s="25">
        <v>123.98</v>
      </c>
      <c r="G40" s="25">
        <v>124.47</v>
      </c>
      <c r="H40" s="25">
        <v>129.49</v>
      </c>
      <c r="I40" s="25">
        <v>100.97</v>
      </c>
      <c r="J40" s="25">
        <v>60.73</v>
      </c>
      <c r="K40" s="25">
        <v>29.24</v>
      </c>
      <c r="L40" s="25">
        <v>18.059999999999999</v>
      </c>
      <c r="M40" s="58">
        <v>12.41</v>
      </c>
      <c r="N40" s="4">
        <f t="shared" si="0"/>
        <v>889.68</v>
      </c>
      <c r="P40" s="52">
        <v>1985</v>
      </c>
      <c r="Q40" s="25">
        <v>46.49</v>
      </c>
      <c r="R40" s="25">
        <v>120.66</v>
      </c>
      <c r="S40" s="25">
        <v>122.99</v>
      </c>
      <c r="T40" s="25">
        <v>49.04</v>
      </c>
      <c r="U40" s="25">
        <v>132.11000000000001</v>
      </c>
      <c r="V40" s="111">
        <v>108.06</v>
      </c>
      <c r="W40" s="25">
        <v>99.83</v>
      </c>
      <c r="X40" s="25">
        <v>82.82</v>
      </c>
      <c r="Y40" s="25">
        <v>44.69</v>
      </c>
      <c r="Z40" s="25">
        <v>33.700000000000003</v>
      </c>
      <c r="AA40" s="25">
        <v>14.28</v>
      </c>
      <c r="AB40" s="58">
        <v>11.29</v>
      </c>
      <c r="AC40" s="90">
        <f t="shared" si="1"/>
        <v>865.96</v>
      </c>
    </row>
    <row r="41" spans="1:29" x14ac:dyDescent="0.25">
      <c r="A41" s="52">
        <v>1986</v>
      </c>
      <c r="B41" s="25">
        <v>29.77</v>
      </c>
      <c r="C41" s="25">
        <v>116.04</v>
      </c>
      <c r="D41" s="25">
        <v>67.97</v>
      </c>
      <c r="E41" s="25">
        <v>81.41</v>
      </c>
      <c r="F41" s="25">
        <v>131.22</v>
      </c>
      <c r="G41" s="25">
        <v>137.69999999999999</v>
      </c>
      <c r="H41" s="25">
        <v>120.51</v>
      </c>
      <c r="I41" s="25">
        <v>104.34</v>
      </c>
      <c r="J41" s="25">
        <v>65.72</v>
      </c>
      <c r="K41" s="25">
        <v>38.229999999999997</v>
      </c>
      <c r="L41" s="25">
        <v>14.08</v>
      </c>
      <c r="M41" s="58">
        <v>14.63</v>
      </c>
      <c r="N41" s="4">
        <f t="shared" si="0"/>
        <v>921.62</v>
      </c>
      <c r="P41" s="52">
        <v>1986</v>
      </c>
      <c r="Q41" s="25">
        <v>36.64</v>
      </c>
      <c r="R41" s="25">
        <v>132.33000000000001</v>
      </c>
      <c r="S41" s="25">
        <v>119.73</v>
      </c>
      <c r="T41" s="25">
        <v>139.34</v>
      </c>
      <c r="U41" s="25">
        <v>144.9</v>
      </c>
      <c r="V41" s="25">
        <v>164.65</v>
      </c>
      <c r="W41" s="25">
        <v>145.5</v>
      </c>
      <c r="X41" s="25">
        <v>117</v>
      </c>
      <c r="Y41" s="25">
        <v>76.8</v>
      </c>
      <c r="Z41" s="25">
        <v>44.25</v>
      </c>
      <c r="AA41" s="25">
        <v>15</v>
      </c>
      <c r="AB41" s="58">
        <v>21.35</v>
      </c>
      <c r="AC41" s="4">
        <f t="shared" si="1"/>
        <v>1157.49</v>
      </c>
    </row>
    <row r="42" spans="1:29" x14ac:dyDescent="0.25">
      <c r="A42" s="52">
        <v>1987</v>
      </c>
      <c r="B42" s="26">
        <v>61.88</v>
      </c>
      <c r="C42" s="26">
        <v>96.12</v>
      </c>
      <c r="D42" s="26">
        <v>191.22</v>
      </c>
      <c r="E42" s="92" t="s">
        <v>13</v>
      </c>
      <c r="F42" s="111">
        <v>116.66</v>
      </c>
      <c r="G42" s="111">
        <v>114.8</v>
      </c>
      <c r="H42" s="111">
        <v>129.38</v>
      </c>
      <c r="I42" s="111">
        <v>98.26</v>
      </c>
      <c r="J42" s="111">
        <v>66.39</v>
      </c>
      <c r="K42" s="111">
        <v>51.22</v>
      </c>
      <c r="L42" s="25">
        <v>12.65</v>
      </c>
      <c r="M42" s="156" t="s">
        <v>13</v>
      </c>
      <c r="N42" s="90">
        <f t="shared" si="0"/>
        <v>938.57999999999993</v>
      </c>
      <c r="P42" s="52">
        <v>1987</v>
      </c>
      <c r="Q42" s="25">
        <v>71.849999999999994</v>
      </c>
      <c r="R42" s="25">
        <v>87.45</v>
      </c>
      <c r="S42" s="25">
        <v>209.55</v>
      </c>
      <c r="T42" s="8">
        <v>61.05</v>
      </c>
      <c r="U42" s="25">
        <v>94.05</v>
      </c>
      <c r="V42" s="25">
        <v>103.15</v>
      </c>
      <c r="W42" s="25">
        <v>124.2</v>
      </c>
      <c r="X42" s="25">
        <v>89.95</v>
      </c>
      <c r="Y42" s="25">
        <v>68.5</v>
      </c>
      <c r="Z42" s="25">
        <v>45.85</v>
      </c>
      <c r="AA42" s="25">
        <v>15.65</v>
      </c>
      <c r="AB42" s="50">
        <v>13.2</v>
      </c>
      <c r="AC42" s="4">
        <f t="shared" si="1"/>
        <v>984.45000000000016</v>
      </c>
    </row>
    <row r="43" spans="1:29" x14ac:dyDescent="0.25">
      <c r="A43" s="52">
        <v>1988</v>
      </c>
      <c r="B43" s="95">
        <v>13.51</v>
      </c>
      <c r="C43" s="95">
        <v>39.590000000000003</v>
      </c>
      <c r="D43" s="2">
        <v>131.63</v>
      </c>
      <c r="E43" s="92" t="s">
        <v>13</v>
      </c>
      <c r="F43" s="92" t="s">
        <v>13</v>
      </c>
      <c r="G43" s="2">
        <v>213.62</v>
      </c>
      <c r="H43" s="2">
        <v>171.75</v>
      </c>
      <c r="I43" s="95">
        <v>147.80000000000001</v>
      </c>
      <c r="J43" s="95">
        <v>66.8</v>
      </c>
      <c r="K43" s="95">
        <v>80.48</v>
      </c>
      <c r="L43" s="95">
        <v>42.03</v>
      </c>
      <c r="M43" s="114">
        <v>27.12</v>
      </c>
      <c r="N43" s="90">
        <f t="shared" si="0"/>
        <v>934.33</v>
      </c>
      <c r="P43" s="52">
        <v>1988</v>
      </c>
      <c r="Q43" s="4">
        <v>14.8</v>
      </c>
      <c r="R43" s="4">
        <v>48.25</v>
      </c>
      <c r="S43" s="25">
        <v>145.36000000000001</v>
      </c>
      <c r="T43" s="90">
        <v>61.19</v>
      </c>
      <c r="U43" s="90">
        <v>122.05</v>
      </c>
      <c r="V43" s="90">
        <v>88.81</v>
      </c>
      <c r="W43" s="90">
        <v>129.35</v>
      </c>
      <c r="X43" s="4">
        <v>97.35</v>
      </c>
      <c r="Y43" s="4">
        <v>71.010000000000005</v>
      </c>
      <c r="Z43" s="4">
        <v>54.89</v>
      </c>
      <c r="AA43" s="90">
        <v>28.94</v>
      </c>
      <c r="AB43" s="113">
        <v>32.94</v>
      </c>
      <c r="AC43" s="90">
        <f t="shared" si="1"/>
        <v>894.94</v>
      </c>
    </row>
    <row r="44" spans="1:29" x14ac:dyDescent="0.25">
      <c r="A44" s="52">
        <v>1989</v>
      </c>
      <c r="B44" s="2">
        <v>10.93</v>
      </c>
      <c r="C44" s="2">
        <v>26.35</v>
      </c>
      <c r="D44" s="2">
        <v>54.04</v>
      </c>
      <c r="E44" s="2">
        <v>115.71</v>
      </c>
      <c r="F44" s="2">
        <v>185.79</v>
      </c>
      <c r="G44" s="2">
        <v>184.79</v>
      </c>
      <c r="H44" s="2">
        <v>154.46</v>
      </c>
      <c r="I44" s="2">
        <v>124.02</v>
      </c>
      <c r="J44" s="95">
        <v>62.45</v>
      </c>
      <c r="K44" s="2">
        <v>40.32</v>
      </c>
      <c r="L44" s="95">
        <v>27.96</v>
      </c>
      <c r="M44" s="16">
        <v>22.42</v>
      </c>
      <c r="N44" s="90">
        <f t="shared" si="0"/>
        <v>1009.24</v>
      </c>
      <c r="P44" s="52">
        <v>1989</v>
      </c>
      <c r="Q44" s="95">
        <v>10.67</v>
      </c>
      <c r="R44" s="2">
        <v>21.05</v>
      </c>
      <c r="S44" s="2">
        <v>36.28</v>
      </c>
      <c r="T44" s="95">
        <v>89.27</v>
      </c>
      <c r="U44" s="2">
        <v>157.04</v>
      </c>
      <c r="V44" s="95">
        <v>130.54</v>
      </c>
      <c r="W44" s="2">
        <v>151.66999999999999</v>
      </c>
      <c r="X44" s="2">
        <v>107.78</v>
      </c>
      <c r="Y44" s="2">
        <v>74.87</v>
      </c>
      <c r="Z44" s="2">
        <v>27.39</v>
      </c>
      <c r="AA44" s="2">
        <v>25.58</v>
      </c>
      <c r="AB44" s="16">
        <v>20.059999999999999</v>
      </c>
      <c r="AC44" s="90">
        <f t="shared" si="1"/>
        <v>852.19999999999982</v>
      </c>
    </row>
    <row r="45" spans="1:29" x14ac:dyDescent="0.25">
      <c r="A45" s="52">
        <v>1990</v>
      </c>
      <c r="B45" s="2">
        <v>14.4</v>
      </c>
      <c r="C45" s="2">
        <v>28.08</v>
      </c>
      <c r="D45" s="2">
        <v>71.95</v>
      </c>
      <c r="E45" s="2">
        <v>142.03</v>
      </c>
      <c r="F45" s="2">
        <v>168.89</v>
      </c>
      <c r="G45" s="95">
        <v>195.22</v>
      </c>
      <c r="H45" s="2">
        <v>175.87</v>
      </c>
      <c r="I45" s="95">
        <v>165.58</v>
      </c>
      <c r="J45" s="2">
        <v>75.45</v>
      </c>
      <c r="K45" s="95">
        <v>46.46</v>
      </c>
      <c r="L45" s="95">
        <v>11.86</v>
      </c>
      <c r="M45" s="114">
        <v>16.88</v>
      </c>
      <c r="N45" s="90">
        <f t="shared" si="0"/>
        <v>1112.67</v>
      </c>
      <c r="P45" s="52">
        <v>1990</v>
      </c>
      <c r="Q45" s="95">
        <v>10.75</v>
      </c>
      <c r="R45" s="95">
        <v>21.72</v>
      </c>
      <c r="S45" s="2">
        <v>56.29</v>
      </c>
      <c r="T45" s="2">
        <v>120.57</v>
      </c>
      <c r="U45" s="2">
        <v>155.34</v>
      </c>
      <c r="V45" s="95">
        <v>146.99</v>
      </c>
      <c r="W45" s="95">
        <v>113.27</v>
      </c>
      <c r="X45" s="4">
        <v>132.4</v>
      </c>
      <c r="Y45" s="95">
        <v>50.32</v>
      </c>
      <c r="Z45" s="95">
        <v>35.409999999999997</v>
      </c>
      <c r="AA45" s="95">
        <v>10.14</v>
      </c>
      <c r="AB45" s="114">
        <v>20.48</v>
      </c>
      <c r="AC45" s="90">
        <f t="shared" ref="AC45" si="2">SUM(Q45:AB45)</f>
        <v>873.68</v>
      </c>
    </row>
    <row r="46" spans="1:29" x14ac:dyDescent="0.25">
      <c r="A46" s="52">
        <v>1991</v>
      </c>
      <c r="B46" s="90">
        <v>16.25</v>
      </c>
      <c r="C46" s="4">
        <v>77.049999999999983</v>
      </c>
      <c r="D46" s="4">
        <v>56.419999999999995</v>
      </c>
      <c r="E46" s="4">
        <v>122.78000000000002</v>
      </c>
      <c r="F46" s="4">
        <v>180.83999999999997</v>
      </c>
      <c r="G46" s="4">
        <v>184.56</v>
      </c>
      <c r="H46" s="4">
        <v>229.73000000000002</v>
      </c>
      <c r="I46" s="4">
        <v>164.46</v>
      </c>
      <c r="J46" s="4">
        <v>105.88</v>
      </c>
      <c r="K46" s="4">
        <v>68.210000000000008</v>
      </c>
      <c r="L46" s="4">
        <v>17.5</v>
      </c>
      <c r="M46" s="90">
        <v>19.699999999999996</v>
      </c>
      <c r="N46" s="90">
        <f t="shared" si="0"/>
        <v>1243.3799999999999</v>
      </c>
      <c r="P46" s="52">
        <v>1991</v>
      </c>
      <c r="Q46" s="4">
        <v>18.23</v>
      </c>
      <c r="R46" s="4">
        <v>96.09999999999998</v>
      </c>
      <c r="S46" s="4">
        <v>72.199999999999989</v>
      </c>
      <c r="T46" s="4">
        <v>85.69</v>
      </c>
      <c r="U46" s="4">
        <v>132.11000000000001</v>
      </c>
      <c r="V46" s="4">
        <v>119.51000000000002</v>
      </c>
      <c r="W46" s="4">
        <v>150.35999999999999</v>
      </c>
      <c r="X46" s="4">
        <v>111.67999999999999</v>
      </c>
      <c r="Y46" s="4">
        <v>64.209999999999994</v>
      </c>
      <c r="Z46" s="4">
        <v>37.619999999999997</v>
      </c>
      <c r="AA46" s="4">
        <v>10.600000000000001</v>
      </c>
      <c r="AB46" s="90">
        <v>13.080000000000004</v>
      </c>
      <c r="AC46" s="90">
        <f>SUM(Q46:AB46)</f>
        <v>911.3900000000001</v>
      </c>
    </row>
    <row r="47" spans="1:29" x14ac:dyDescent="0.25">
      <c r="A47" s="52">
        <v>1992</v>
      </c>
      <c r="B47" s="92">
        <v>25.200000000000003</v>
      </c>
      <c r="C47" s="8">
        <v>29.73</v>
      </c>
      <c r="D47" s="8">
        <v>73.749999999999986</v>
      </c>
      <c r="E47" s="8">
        <v>95.86999999999999</v>
      </c>
      <c r="F47" s="8">
        <v>208.49999999999997</v>
      </c>
      <c r="G47" s="8">
        <v>266.33</v>
      </c>
      <c r="H47" s="8">
        <v>217.05999999999997</v>
      </c>
      <c r="I47" s="8">
        <v>125.82000000000001</v>
      </c>
      <c r="J47" s="8">
        <v>81.439999999999984</v>
      </c>
      <c r="K47" s="8">
        <v>62.570000000000007</v>
      </c>
      <c r="L47" s="8">
        <v>16.149999999999995</v>
      </c>
      <c r="M47" s="8">
        <v>19.21</v>
      </c>
      <c r="N47" s="90">
        <f t="shared" si="0"/>
        <v>1221.6299999999999</v>
      </c>
      <c r="P47" s="52">
        <v>1992</v>
      </c>
      <c r="Q47" s="92">
        <v>16.02</v>
      </c>
      <c r="R47" s="8">
        <v>47.840000000000011</v>
      </c>
      <c r="S47" s="92">
        <v>42.04</v>
      </c>
      <c r="T47" s="92">
        <v>54.49</v>
      </c>
      <c r="U47" s="8">
        <v>141.08000000000004</v>
      </c>
      <c r="V47" s="8">
        <v>172.07999999999998</v>
      </c>
      <c r="W47" s="8">
        <v>146.42999999999998</v>
      </c>
      <c r="X47" s="8">
        <v>102.75999999999998</v>
      </c>
      <c r="Y47" s="8">
        <v>58.93</v>
      </c>
      <c r="Z47" s="8">
        <v>41.660000000000004</v>
      </c>
      <c r="AA47" s="8">
        <v>9.990000000000002</v>
      </c>
      <c r="AB47" s="8">
        <v>9.0899999999999981</v>
      </c>
      <c r="AC47" s="90">
        <f t="shared" ref="AC47:AC77" si="3">SUM(Q47:AB47)</f>
        <v>842.41</v>
      </c>
    </row>
    <row r="48" spans="1:29" x14ac:dyDescent="0.25">
      <c r="A48" s="52">
        <v>1993</v>
      </c>
      <c r="B48" s="7">
        <v>51.879999999999995</v>
      </c>
      <c r="C48" s="7">
        <v>89.26</v>
      </c>
      <c r="D48" s="7">
        <v>203.48000000000002</v>
      </c>
      <c r="E48" s="7">
        <v>155.69000000000003</v>
      </c>
      <c r="F48" s="7">
        <v>167.96999999999997</v>
      </c>
      <c r="G48" s="7">
        <v>152.23999999999998</v>
      </c>
      <c r="H48" s="7">
        <v>101.99000000000002</v>
      </c>
      <c r="I48" s="7">
        <v>119.72000000000003</v>
      </c>
      <c r="J48" s="7">
        <v>63.629999999999995</v>
      </c>
      <c r="K48" s="7">
        <v>37.720000000000013</v>
      </c>
      <c r="L48" s="115" t="s">
        <v>13</v>
      </c>
      <c r="M48" s="115">
        <v>18.899999999999988</v>
      </c>
      <c r="N48" s="90">
        <f t="shared" si="0"/>
        <v>1162.4800000000002</v>
      </c>
      <c r="P48" s="52">
        <v>1993</v>
      </c>
      <c r="Q48" s="7">
        <v>54.99</v>
      </c>
      <c r="R48" s="115">
        <v>58.05</v>
      </c>
      <c r="S48" s="7">
        <v>121.73000000000002</v>
      </c>
      <c r="T48" s="7">
        <v>75.240000000000009</v>
      </c>
      <c r="U48" s="7">
        <v>128.22</v>
      </c>
      <c r="V48" s="7">
        <v>107.67999999999999</v>
      </c>
      <c r="W48" s="7">
        <v>81.59999999999998</v>
      </c>
      <c r="X48" s="7">
        <v>81.620000000000019</v>
      </c>
      <c r="Y48" s="7">
        <v>46.949999999999989</v>
      </c>
      <c r="Z48" s="7">
        <v>31.589999999999996</v>
      </c>
      <c r="AA48" s="7">
        <v>23.840000000000007</v>
      </c>
      <c r="AB48" s="7">
        <v>14.209999999999996</v>
      </c>
      <c r="AC48" s="90">
        <f t="shared" si="3"/>
        <v>825.72</v>
      </c>
    </row>
    <row r="49" spans="1:29" x14ac:dyDescent="0.25">
      <c r="A49" s="52">
        <v>1994</v>
      </c>
      <c r="B49" s="92">
        <v>26.22</v>
      </c>
      <c r="C49" s="8">
        <v>110.32000000000001</v>
      </c>
      <c r="D49" s="8">
        <v>151.77999999999997</v>
      </c>
      <c r="E49" s="8">
        <v>121.78999999999999</v>
      </c>
      <c r="F49" s="8">
        <v>185.45000000000002</v>
      </c>
      <c r="G49" s="8">
        <v>246.96999999999997</v>
      </c>
      <c r="H49" s="8">
        <v>309.89999999999998</v>
      </c>
      <c r="I49" s="8">
        <v>185.66</v>
      </c>
      <c r="J49" s="8">
        <v>85.779999999999987</v>
      </c>
      <c r="K49" s="8">
        <v>54.17</v>
      </c>
      <c r="L49" s="92">
        <v>15.620000000000001</v>
      </c>
      <c r="M49" s="92">
        <v>18.850000000000005</v>
      </c>
      <c r="N49" s="90">
        <f t="shared" si="0"/>
        <v>1512.5099999999998</v>
      </c>
      <c r="P49" s="52">
        <v>1994</v>
      </c>
      <c r="Q49" s="8">
        <v>19.510000000000002</v>
      </c>
      <c r="R49" s="92">
        <v>81.129999999999981</v>
      </c>
      <c r="S49" s="8">
        <v>85.95</v>
      </c>
      <c r="T49" s="8">
        <v>61.88000000000001</v>
      </c>
      <c r="U49" s="8">
        <v>120.92000000000002</v>
      </c>
      <c r="V49" s="8">
        <v>142.05000000000001</v>
      </c>
      <c r="W49" s="8">
        <v>167.22999999999996</v>
      </c>
      <c r="X49" s="8">
        <v>97.322999999999951</v>
      </c>
      <c r="Y49" s="8">
        <v>50.29</v>
      </c>
      <c r="Z49" s="8">
        <v>32.54</v>
      </c>
      <c r="AA49" s="8">
        <v>11.250000000000002</v>
      </c>
      <c r="AB49" s="8">
        <v>10.1</v>
      </c>
      <c r="AC49" s="90">
        <f t="shared" si="3"/>
        <v>880.17299999999989</v>
      </c>
    </row>
    <row r="50" spans="1:29" x14ac:dyDescent="0.25">
      <c r="A50" s="52">
        <v>1995</v>
      </c>
      <c r="B50" s="8">
        <v>49.839999999999996</v>
      </c>
      <c r="C50" s="8">
        <v>42.449999999999996</v>
      </c>
      <c r="D50" s="8">
        <v>61.24</v>
      </c>
      <c r="E50" s="92">
        <v>123.27999999999999</v>
      </c>
      <c r="F50" s="92">
        <v>163.16</v>
      </c>
      <c r="G50" s="92">
        <v>125.97</v>
      </c>
      <c r="H50" s="92" t="s">
        <v>13</v>
      </c>
      <c r="I50" s="92" t="s">
        <v>13</v>
      </c>
      <c r="J50" s="92">
        <v>57.539999999999992</v>
      </c>
      <c r="K50" s="8">
        <v>44.489999999999995</v>
      </c>
      <c r="L50" s="92">
        <v>31.420000000000005</v>
      </c>
      <c r="M50" s="92">
        <v>9.7099999999999991</v>
      </c>
      <c r="N50" s="90">
        <f t="shared" si="0"/>
        <v>709.1</v>
      </c>
      <c r="P50" s="52">
        <v>1995</v>
      </c>
      <c r="Q50" s="8">
        <v>32.490000000000009</v>
      </c>
      <c r="R50" s="8">
        <v>27.11</v>
      </c>
      <c r="S50" s="8">
        <v>28.85</v>
      </c>
      <c r="T50" s="8">
        <v>69.59</v>
      </c>
      <c r="U50" s="8">
        <v>93.259999999999977</v>
      </c>
      <c r="V50" s="8">
        <v>124.55999999999999</v>
      </c>
      <c r="W50" s="8">
        <v>163.57000000000002</v>
      </c>
      <c r="X50" s="8">
        <v>125.10000000000002</v>
      </c>
      <c r="Y50" s="8">
        <v>59.29</v>
      </c>
      <c r="Z50" s="8">
        <v>43.019999999999996</v>
      </c>
      <c r="AA50" s="8">
        <v>18.590000000000007</v>
      </c>
      <c r="AB50" s="8">
        <v>26.880000000000003</v>
      </c>
      <c r="AC50" s="4">
        <f t="shared" si="3"/>
        <v>812.31000000000006</v>
      </c>
    </row>
    <row r="51" spans="1:29" x14ac:dyDescent="0.25">
      <c r="A51" s="52">
        <v>1996</v>
      </c>
      <c r="B51" s="92">
        <v>11.52</v>
      </c>
      <c r="C51" s="8">
        <v>112.13</v>
      </c>
      <c r="D51" s="8">
        <v>312.11999999999995</v>
      </c>
      <c r="E51" s="8">
        <v>146.37</v>
      </c>
      <c r="F51" s="92">
        <v>131.12</v>
      </c>
      <c r="G51" s="8">
        <v>168.16000000000003</v>
      </c>
      <c r="H51" s="8">
        <v>134.47999999999999</v>
      </c>
      <c r="I51" s="8">
        <v>113.33</v>
      </c>
      <c r="J51" s="8">
        <v>70.839999999999989</v>
      </c>
      <c r="K51" s="8">
        <v>32.869999999999997</v>
      </c>
      <c r="L51" s="92">
        <v>16.579999999999998</v>
      </c>
      <c r="M51" s="92">
        <v>39.83</v>
      </c>
      <c r="N51" s="90">
        <f t="shared" si="0"/>
        <v>1289.3499999999995</v>
      </c>
      <c r="P51" s="52">
        <v>1996</v>
      </c>
      <c r="Q51" s="8">
        <v>58.459999999999994</v>
      </c>
      <c r="R51" s="8">
        <v>125.15999999999998</v>
      </c>
      <c r="S51" s="8">
        <v>250.57</v>
      </c>
      <c r="T51" s="92">
        <v>168.51999999999998</v>
      </c>
      <c r="U51" s="8">
        <v>100.88999999999996</v>
      </c>
      <c r="V51" s="8">
        <v>132.24</v>
      </c>
      <c r="W51" s="8">
        <v>128.93</v>
      </c>
      <c r="X51" s="8">
        <v>121.66</v>
      </c>
      <c r="Y51" s="8">
        <v>62.399999999999991</v>
      </c>
      <c r="Z51" s="8">
        <v>34.120000000000005</v>
      </c>
      <c r="AA51" s="8">
        <v>11.73</v>
      </c>
      <c r="AB51" s="8">
        <v>32.510000000000005</v>
      </c>
      <c r="AC51" s="90">
        <f t="shared" si="3"/>
        <v>1227.1900000000003</v>
      </c>
    </row>
    <row r="52" spans="1:29" x14ac:dyDescent="0.25">
      <c r="A52" s="52">
        <v>1997</v>
      </c>
      <c r="B52" s="92">
        <v>17.229999999999997</v>
      </c>
      <c r="C52" s="92">
        <v>17.5</v>
      </c>
      <c r="D52" s="8">
        <v>65.600000000000009</v>
      </c>
      <c r="E52" s="8">
        <v>76.909999999999982</v>
      </c>
      <c r="F52" s="8">
        <v>117.15999999999998</v>
      </c>
      <c r="G52" s="92">
        <v>64.34</v>
      </c>
      <c r="H52" s="92">
        <v>93.14</v>
      </c>
      <c r="I52" s="8">
        <v>129.43</v>
      </c>
      <c r="J52" s="8">
        <v>63.39</v>
      </c>
      <c r="K52" s="92">
        <v>11.32</v>
      </c>
      <c r="L52" s="92">
        <v>6.12</v>
      </c>
      <c r="M52" s="92">
        <v>15.76</v>
      </c>
      <c r="N52" s="90">
        <f t="shared" si="0"/>
        <v>677.9</v>
      </c>
      <c r="P52" s="52">
        <v>1997</v>
      </c>
      <c r="Q52" s="8">
        <v>40.419999999999995</v>
      </c>
      <c r="R52" s="8">
        <v>45</v>
      </c>
      <c r="S52" s="8">
        <v>61.349999999999994</v>
      </c>
      <c r="T52" s="8">
        <v>66.940000000000012</v>
      </c>
      <c r="U52" s="8">
        <v>113.46</v>
      </c>
      <c r="V52" s="8">
        <v>116.17999999999999</v>
      </c>
      <c r="W52" s="8">
        <v>133.16999999999996</v>
      </c>
      <c r="X52" s="8">
        <v>138.54000000000002</v>
      </c>
      <c r="Y52" s="8">
        <v>71.060000000000016</v>
      </c>
      <c r="Z52" s="8">
        <v>24.039999999999996</v>
      </c>
      <c r="AA52" s="8">
        <v>6.1000000000000005</v>
      </c>
      <c r="AB52" s="8">
        <v>23.429999999999989</v>
      </c>
      <c r="AC52" s="4">
        <f t="shared" si="3"/>
        <v>839.68999999999994</v>
      </c>
    </row>
    <row r="53" spans="1:29" x14ac:dyDescent="0.25">
      <c r="A53" s="52">
        <v>1998</v>
      </c>
      <c r="B53" s="92">
        <v>14.909999999999998</v>
      </c>
      <c r="C53" s="92">
        <v>22.030000000000005</v>
      </c>
      <c r="D53" s="92">
        <v>53.249999999999993</v>
      </c>
      <c r="E53" s="92">
        <v>20.7</v>
      </c>
      <c r="F53" s="92">
        <v>102.38000000000001</v>
      </c>
      <c r="G53" s="8">
        <v>67.460000000000008</v>
      </c>
      <c r="H53" s="92">
        <v>58.320000000000007</v>
      </c>
      <c r="I53" s="92">
        <v>59.189999999999991</v>
      </c>
      <c r="J53" s="92">
        <v>51.959999999999987</v>
      </c>
      <c r="K53" s="92">
        <v>32.649999999999991</v>
      </c>
      <c r="L53" s="92">
        <v>33.800000000000004</v>
      </c>
      <c r="M53" s="92">
        <v>6.4</v>
      </c>
      <c r="N53" s="90">
        <f t="shared" si="0"/>
        <v>523.04999999999995</v>
      </c>
      <c r="P53" s="52">
        <v>1998</v>
      </c>
      <c r="Q53" s="8">
        <v>18.739999999999998</v>
      </c>
      <c r="R53" s="8">
        <v>28.599999999999994</v>
      </c>
      <c r="S53" s="8">
        <v>97.72</v>
      </c>
      <c r="T53" s="8">
        <v>77.710000000000008</v>
      </c>
      <c r="U53" s="8">
        <v>129.66000000000003</v>
      </c>
      <c r="V53" s="8">
        <v>106.89000000000001</v>
      </c>
      <c r="W53" s="8">
        <v>91.049999999999983</v>
      </c>
      <c r="X53" s="8">
        <v>87.059999999999988</v>
      </c>
      <c r="Y53" s="8">
        <v>62.690000000000019</v>
      </c>
      <c r="Z53" s="8">
        <v>31.68000000000001</v>
      </c>
      <c r="AA53" s="8">
        <v>34.81</v>
      </c>
      <c r="AB53" s="8">
        <v>27.969999999999995</v>
      </c>
      <c r="AC53" s="4">
        <f t="shared" si="3"/>
        <v>794.58000000000015</v>
      </c>
    </row>
    <row r="54" spans="1:29" x14ac:dyDescent="0.25">
      <c r="A54" s="52">
        <v>1999</v>
      </c>
      <c r="B54" s="92">
        <v>1.9000000000000001</v>
      </c>
      <c r="C54" s="8">
        <v>26.820000000000004</v>
      </c>
      <c r="D54" s="92">
        <v>49.38</v>
      </c>
      <c r="E54" s="8">
        <v>33.76</v>
      </c>
      <c r="F54" s="8">
        <v>99.31</v>
      </c>
      <c r="G54" s="92">
        <v>98.899999999999991</v>
      </c>
      <c r="H54" s="92">
        <v>90.370000000000019</v>
      </c>
      <c r="I54" s="92">
        <v>71.010000000000019</v>
      </c>
      <c r="J54" s="8">
        <v>55.81</v>
      </c>
      <c r="K54" s="8">
        <v>26.320000000000004</v>
      </c>
      <c r="L54" s="8">
        <v>18.13</v>
      </c>
      <c r="M54" s="92">
        <v>14.719999999999999</v>
      </c>
      <c r="N54" s="90">
        <f t="shared" si="0"/>
        <v>586.43000000000006</v>
      </c>
      <c r="P54" s="52">
        <v>1999</v>
      </c>
      <c r="Q54" s="8">
        <v>29.230000000000011</v>
      </c>
      <c r="R54" s="8">
        <v>95.989999999999981</v>
      </c>
      <c r="S54" s="8">
        <v>94.07999999999997</v>
      </c>
      <c r="T54" s="8">
        <v>64.179999999999993</v>
      </c>
      <c r="U54" s="8">
        <v>148.82</v>
      </c>
      <c r="V54" s="8">
        <v>140.31999999999996</v>
      </c>
      <c r="W54" s="8">
        <v>148.91999999999999</v>
      </c>
      <c r="X54" s="8">
        <v>105.22000000000001</v>
      </c>
      <c r="Y54" s="8">
        <v>70.69</v>
      </c>
      <c r="Z54" s="8">
        <v>24.68</v>
      </c>
      <c r="AA54" s="8">
        <v>18.979999999999997</v>
      </c>
      <c r="AB54" s="8">
        <v>18.990000000000002</v>
      </c>
      <c r="AC54" s="4">
        <f t="shared" si="3"/>
        <v>960.0999999999998</v>
      </c>
    </row>
    <row r="55" spans="1:29" x14ac:dyDescent="0.25">
      <c r="A55" s="52">
        <v>2000</v>
      </c>
      <c r="B55" s="92">
        <v>11.05</v>
      </c>
      <c r="C55" s="92">
        <v>17.54</v>
      </c>
      <c r="D55" s="8">
        <v>51.340000000000011</v>
      </c>
      <c r="E55" s="8">
        <v>99.390000000000015</v>
      </c>
      <c r="F55" s="92">
        <v>118.20999999999998</v>
      </c>
      <c r="G55" s="92">
        <v>112.83</v>
      </c>
      <c r="H55" s="8">
        <v>110.42000000000002</v>
      </c>
      <c r="I55" s="8">
        <v>99.579999999999984</v>
      </c>
      <c r="J55" s="92">
        <v>57.42</v>
      </c>
      <c r="K55" s="8">
        <v>50.960000000000008</v>
      </c>
      <c r="L55" s="92">
        <v>4.1200000000000019</v>
      </c>
      <c r="M55" s="92">
        <v>6.0000000000000018</v>
      </c>
      <c r="N55" s="90">
        <f t="shared" si="0"/>
        <v>738.8599999999999</v>
      </c>
      <c r="P55" s="52">
        <v>2000</v>
      </c>
      <c r="Q55" s="8">
        <v>31.529999999999994</v>
      </c>
      <c r="R55" s="8">
        <v>31.849999999999994</v>
      </c>
      <c r="S55" s="8">
        <v>50.15</v>
      </c>
      <c r="T55" s="8">
        <v>97.99</v>
      </c>
      <c r="U55" s="8">
        <v>155.98999999999995</v>
      </c>
      <c r="V55" s="8">
        <v>123.66000000000003</v>
      </c>
      <c r="W55" s="8">
        <v>104.05999999999999</v>
      </c>
      <c r="X55" s="8">
        <v>105.96000000000002</v>
      </c>
      <c r="Y55" s="8">
        <v>90.94</v>
      </c>
      <c r="Z55" s="8">
        <v>53.179999999999993</v>
      </c>
      <c r="AA55" s="8">
        <v>11.269999999999994</v>
      </c>
      <c r="AB55" s="8">
        <v>8.85</v>
      </c>
      <c r="AC55" s="4">
        <f t="shared" si="3"/>
        <v>865.42999999999984</v>
      </c>
    </row>
    <row r="56" spans="1:29" x14ac:dyDescent="0.25">
      <c r="A56" s="52">
        <v>2001</v>
      </c>
      <c r="B56" s="8">
        <v>9.0600000000000023</v>
      </c>
      <c r="C56" s="8">
        <v>49.96</v>
      </c>
      <c r="D56" s="8">
        <v>97.259999999999991</v>
      </c>
      <c r="E56" s="8">
        <v>61.189999999999991</v>
      </c>
      <c r="F56" s="8">
        <v>145.43</v>
      </c>
      <c r="G56" s="8">
        <v>145.19</v>
      </c>
      <c r="H56" s="8">
        <v>163.24</v>
      </c>
      <c r="I56" s="8">
        <v>125.28999999999999</v>
      </c>
      <c r="J56" s="92">
        <v>50.22999999999999</v>
      </c>
      <c r="K56" s="8">
        <v>43.36999999999999</v>
      </c>
      <c r="L56" s="8">
        <v>24.980000000000004</v>
      </c>
      <c r="M56" s="92">
        <v>15.870000000000001</v>
      </c>
      <c r="N56" s="90">
        <f t="shared" si="0"/>
        <v>931.06999999999994</v>
      </c>
      <c r="P56" s="52">
        <v>2001</v>
      </c>
      <c r="Q56" s="8">
        <v>17.829999999999998</v>
      </c>
      <c r="R56" s="8">
        <v>67.960000000000008</v>
      </c>
      <c r="S56" s="8">
        <v>172.01000000000002</v>
      </c>
      <c r="T56" s="8">
        <v>75.269999999999968</v>
      </c>
      <c r="U56" s="8">
        <v>139.36000000000001</v>
      </c>
      <c r="V56" s="8">
        <v>132.75</v>
      </c>
      <c r="W56" s="8">
        <v>116.82000000000002</v>
      </c>
      <c r="X56" s="8">
        <v>107.54999999999997</v>
      </c>
      <c r="Y56" s="8">
        <v>59.57</v>
      </c>
      <c r="Z56" s="8">
        <v>34.22</v>
      </c>
      <c r="AA56" s="8">
        <v>20.330000000000002</v>
      </c>
      <c r="AB56" s="8">
        <v>31.720000000000002</v>
      </c>
      <c r="AC56" s="4">
        <f t="shared" si="3"/>
        <v>975.39000000000021</v>
      </c>
    </row>
    <row r="57" spans="1:29" x14ac:dyDescent="0.25">
      <c r="A57" s="52">
        <v>2002</v>
      </c>
      <c r="B57" s="8">
        <v>16.349999999999998</v>
      </c>
      <c r="C57" s="8">
        <v>39.020000000000003</v>
      </c>
      <c r="D57" s="8">
        <v>75.450000000000017</v>
      </c>
      <c r="E57" s="92">
        <v>78.760000000000005</v>
      </c>
      <c r="F57" s="92">
        <v>88.11</v>
      </c>
      <c r="G57" s="8">
        <v>98.129999999999981</v>
      </c>
      <c r="H57" s="92">
        <v>116.62000000000002</v>
      </c>
      <c r="I57" s="8">
        <v>142.29</v>
      </c>
      <c r="J57" s="8">
        <v>81.38000000000001</v>
      </c>
      <c r="K57" s="8">
        <v>27.27999999999999</v>
      </c>
      <c r="L57" s="8">
        <v>13.55</v>
      </c>
      <c r="M57" s="92">
        <v>35.1</v>
      </c>
      <c r="N57" s="90">
        <f t="shared" si="0"/>
        <v>812.04</v>
      </c>
      <c r="P57" s="52">
        <v>2002</v>
      </c>
      <c r="Q57" s="8">
        <v>29.86000000000001</v>
      </c>
      <c r="R57" s="8">
        <v>47.230000000000004</v>
      </c>
      <c r="S57" s="8">
        <v>59.079999999999991</v>
      </c>
      <c r="T57" s="8">
        <v>99.11999999999999</v>
      </c>
      <c r="U57" s="8">
        <v>152.24000000000004</v>
      </c>
      <c r="V57" s="8">
        <v>133.33999999999997</v>
      </c>
      <c r="W57" s="8">
        <v>135.31999999999996</v>
      </c>
      <c r="X57" s="8">
        <v>114.49</v>
      </c>
      <c r="Y57" s="8">
        <v>68.900000000000006</v>
      </c>
      <c r="Z57" s="8">
        <v>19.259999999999994</v>
      </c>
      <c r="AA57" s="8">
        <v>15.860000000000001</v>
      </c>
      <c r="AB57" s="8">
        <v>37.549999999999997</v>
      </c>
      <c r="AC57" s="4">
        <f t="shared" si="3"/>
        <v>912.25</v>
      </c>
    </row>
    <row r="58" spans="1:29" x14ac:dyDescent="0.25">
      <c r="A58" s="52">
        <v>2003</v>
      </c>
      <c r="B58" s="8">
        <v>20.170000000000002</v>
      </c>
      <c r="C58" s="92" t="s">
        <v>13</v>
      </c>
      <c r="D58" s="92" t="s">
        <v>13</v>
      </c>
      <c r="E58" s="92" t="s">
        <v>13</v>
      </c>
      <c r="F58" s="92" t="s">
        <v>13</v>
      </c>
      <c r="G58" s="92" t="s">
        <v>13</v>
      </c>
      <c r="H58" s="92" t="s">
        <v>13</v>
      </c>
      <c r="I58" s="92" t="s">
        <v>13</v>
      </c>
      <c r="J58" s="92" t="s">
        <v>13</v>
      </c>
      <c r="K58" s="92" t="s">
        <v>13</v>
      </c>
      <c r="L58" s="92" t="s">
        <v>13</v>
      </c>
      <c r="M58" s="92" t="s">
        <v>13</v>
      </c>
      <c r="N58" s="90">
        <f t="shared" si="0"/>
        <v>20.170000000000002</v>
      </c>
      <c r="P58" s="52">
        <v>2003</v>
      </c>
      <c r="Q58" s="8">
        <v>28.97999999999999</v>
      </c>
      <c r="R58" s="8">
        <v>83.97999999999999</v>
      </c>
      <c r="S58" s="8">
        <v>94.299999999999983</v>
      </c>
      <c r="T58" s="8">
        <v>93.730000000000018</v>
      </c>
      <c r="U58" s="8">
        <v>108.15</v>
      </c>
      <c r="V58" s="8">
        <v>137.59</v>
      </c>
      <c r="W58" s="8">
        <v>119.82</v>
      </c>
      <c r="X58" s="8">
        <v>106.47999999999996</v>
      </c>
      <c r="Y58" s="8">
        <v>76.820000000000007</v>
      </c>
      <c r="Z58" s="8">
        <v>38.459999999999994</v>
      </c>
      <c r="AA58" s="8">
        <v>8.1200000000000028</v>
      </c>
      <c r="AB58" s="8">
        <v>14.009999999999998</v>
      </c>
      <c r="AC58" s="4">
        <f t="shared" si="3"/>
        <v>910.44</v>
      </c>
    </row>
    <row r="59" spans="1:29" x14ac:dyDescent="0.25">
      <c r="A59" s="52">
        <v>2004</v>
      </c>
      <c r="B59" s="8">
        <v>44.819699999999997</v>
      </c>
      <c r="C59" s="8">
        <v>42.396899999999995</v>
      </c>
      <c r="D59" s="8">
        <v>69.232499999999987</v>
      </c>
      <c r="E59" s="8">
        <v>111.55019999999999</v>
      </c>
      <c r="F59" s="8">
        <v>127.13160000000001</v>
      </c>
      <c r="G59" s="8">
        <v>122.06820000000005</v>
      </c>
      <c r="H59" s="8">
        <v>116.96759999999998</v>
      </c>
      <c r="I59" s="8">
        <v>103.3284</v>
      </c>
      <c r="J59" s="92">
        <v>64.2624</v>
      </c>
      <c r="K59" s="92">
        <v>27.718799999999998</v>
      </c>
      <c r="L59" s="8">
        <v>23.961900000000007</v>
      </c>
      <c r="M59" s="8">
        <v>12.5892</v>
      </c>
      <c r="N59" s="90">
        <f t="shared" si="0"/>
        <v>866.02739999999994</v>
      </c>
      <c r="P59" s="52">
        <v>2004</v>
      </c>
      <c r="Q59" s="8">
        <v>60.16</v>
      </c>
      <c r="R59" s="8">
        <v>75.77000000000001</v>
      </c>
      <c r="S59" s="8">
        <v>96.189999999999984</v>
      </c>
      <c r="T59" s="8">
        <v>102.29999999999997</v>
      </c>
      <c r="U59" s="8">
        <v>116.57000000000002</v>
      </c>
      <c r="V59" s="8">
        <v>108.78999999999999</v>
      </c>
      <c r="W59" s="8">
        <v>121.69</v>
      </c>
      <c r="X59" s="8">
        <v>102.86000000000003</v>
      </c>
      <c r="Y59" s="8">
        <v>74.509999999999991</v>
      </c>
      <c r="Z59" s="8">
        <v>35.560000000000009</v>
      </c>
      <c r="AA59" s="8">
        <v>22.399999999999995</v>
      </c>
      <c r="AB59" s="8">
        <v>10.810000000000002</v>
      </c>
      <c r="AC59" s="4">
        <f t="shared" si="3"/>
        <v>927.61000000000013</v>
      </c>
    </row>
    <row r="60" spans="1:29" x14ac:dyDescent="0.25">
      <c r="A60" s="52">
        <v>2005</v>
      </c>
      <c r="B60" s="8">
        <v>24.3582</v>
      </c>
      <c r="C60" s="8">
        <v>96.544699999999992</v>
      </c>
      <c r="D60" s="92">
        <v>136.01429999999999</v>
      </c>
      <c r="E60" s="92">
        <v>71.498699999999999</v>
      </c>
      <c r="F60" s="8">
        <v>143.67960000000005</v>
      </c>
      <c r="G60" s="8">
        <v>137.45999999999998</v>
      </c>
      <c r="H60" s="8">
        <v>131.18730000000002</v>
      </c>
      <c r="I60" s="8">
        <v>101.06940000000002</v>
      </c>
      <c r="J60" s="8">
        <v>79.464952686576012</v>
      </c>
      <c r="K60" s="8">
        <v>56.075845999999991</v>
      </c>
      <c r="L60" s="8">
        <v>17.128475000000002</v>
      </c>
      <c r="M60" s="8">
        <v>18.400199999999998</v>
      </c>
      <c r="N60" s="90">
        <f t="shared" si="0"/>
        <v>1012.8816736865759</v>
      </c>
      <c r="P60" s="52">
        <v>2005</v>
      </c>
      <c r="Q60" s="8">
        <v>26.22</v>
      </c>
      <c r="R60" s="8">
        <v>113.93000000000002</v>
      </c>
      <c r="S60" s="8">
        <v>207.83</v>
      </c>
      <c r="T60" s="8">
        <v>90.160000000000025</v>
      </c>
      <c r="U60" s="8">
        <v>127.67</v>
      </c>
      <c r="V60" s="8">
        <v>144.34999999999997</v>
      </c>
      <c r="W60" s="8">
        <v>141.35</v>
      </c>
      <c r="X60" s="8">
        <v>112.47000000000001</v>
      </c>
      <c r="Y60" s="8">
        <v>86.740000000000009</v>
      </c>
      <c r="Z60" s="8">
        <v>47.62</v>
      </c>
      <c r="AA60" s="8">
        <v>16.929999999999996</v>
      </c>
      <c r="AB60" s="8">
        <v>18.75</v>
      </c>
      <c r="AC60" s="4">
        <f t="shared" si="3"/>
        <v>1134.0200000000002</v>
      </c>
    </row>
    <row r="61" spans="1:29" x14ac:dyDescent="0.25">
      <c r="A61" s="52">
        <v>2006</v>
      </c>
      <c r="B61" s="8">
        <v>40.35915</v>
      </c>
      <c r="C61" s="8">
        <v>87.638850000000019</v>
      </c>
      <c r="D61" s="8">
        <v>226.67222500000003</v>
      </c>
      <c r="E61" s="8">
        <v>82.046250000000001</v>
      </c>
      <c r="F61" s="8">
        <v>127.32525000000001</v>
      </c>
      <c r="G61" s="8">
        <v>144.79042499999997</v>
      </c>
      <c r="H61" s="8">
        <v>146.93997500000003</v>
      </c>
      <c r="I61" s="8">
        <v>73.040174999999977</v>
      </c>
      <c r="J61" s="8">
        <v>80.730675199999979</v>
      </c>
      <c r="K61" s="8">
        <v>34.812000000000005</v>
      </c>
      <c r="L61" s="8">
        <v>14.655600000000003</v>
      </c>
      <c r="M61" s="8">
        <v>6.9552000000000005</v>
      </c>
      <c r="N61" s="4">
        <f t="shared" si="0"/>
        <v>1065.9657752000001</v>
      </c>
      <c r="P61" s="52">
        <v>2006</v>
      </c>
      <c r="Q61" s="8">
        <v>48.23</v>
      </c>
      <c r="R61" s="8">
        <v>83.969999999999985</v>
      </c>
      <c r="S61" s="8">
        <v>184.37</v>
      </c>
      <c r="T61" s="8">
        <v>82.929999999999993</v>
      </c>
      <c r="U61" s="8">
        <v>136.95000000000002</v>
      </c>
      <c r="V61" s="8">
        <v>144.02999999999994</v>
      </c>
      <c r="W61" s="8">
        <v>139.82999999999998</v>
      </c>
      <c r="X61" s="8">
        <v>74.070000000000007</v>
      </c>
      <c r="Y61" s="8">
        <v>92.210000000000008</v>
      </c>
      <c r="Z61" s="8">
        <v>45.019999999999989</v>
      </c>
      <c r="AA61" s="8">
        <v>12.930000000000003</v>
      </c>
      <c r="AB61" s="92">
        <v>7.3699999999999992</v>
      </c>
      <c r="AC61" s="90">
        <f t="shared" si="3"/>
        <v>1051.9100000000001</v>
      </c>
    </row>
    <row r="62" spans="1:29" x14ac:dyDescent="0.25">
      <c r="A62" s="52">
        <v>2007</v>
      </c>
      <c r="B62" s="8">
        <v>21.632400000000001</v>
      </c>
      <c r="C62" s="8">
        <v>47.59559999999999</v>
      </c>
      <c r="D62" s="8">
        <v>55.951199999999986</v>
      </c>
      <c r="E62" s="8">
        <v>119.67479999999998</v>
      </c>
      <c r="F62" s="8">
        <v>127.21680000000001</v>
      </c>
      <c r="G62" s="8">
        <v>129.03840000000002</v>
      </c>
      <c r="H62" s="8">
        <v>110.08439999999999</v>
      </c>
      <c r="I62" s="8">
        <v>107.642</v>
      </c>
      <c r="J62" s="8">
        <v>74.437200000000004</v>
      </c>
      <c r="K62" s="8">
        <v>35.546400000000013</v>
      </c>
      <c r="L62" s="8">
        <v>15.087599999999998</v>
      </c>
      <c r="M62" s="8">
        <v>6.6275999999999984</v>
      </c>
      <c r="N62" s="4">
        <f t="shared" si="0"/>
        <v>850.53439999999989</v>
      </c>
      <c r="P62" s="52">
        <v>2007</v>
      </c>
      <c r="Q62" s="8">
        <v>30.500000000000004</v>
      </c>
      <c r="R62" s="8">
        <v>104.37999999999998</v>
      </c>
      <c r="S62" s="8">
        <v>56.820000000000007</v>
      </c>
      <c r="T62" s="8">
        <v>114.69999999999997</v>
      </c>
      <c r="U62" s="8">
        <v>122.85000000000001</v>
      </c>
      <c r="V62" s="8">
        <v>129.30000000000001</v>
      </c>
      <c r="W62" s="8">
        <v>122.12</v>
      </c>
      <c r="X62" s="8">
        <v>101.47999999999999</v>
      </c>
      <c r="Y62" s="8">
        <v>84.87</v>
      </c>
      <c r="Z62" s="8">
        <v>38.160000000000004</v>
      </c>
      <c r="AA62" s="8">
        <v>22.009999999999991</v>
      </c>
      <c r="AB62" s="8">
        <v>7.08</v>
      </c>
      <c r="AC62" s="4">
        <f t="shared" si="3"/>
        <v>934.27</v>
      </c>
    </row>
    <row r="63" spans="1:29" x14ac:dyDescent="0.25">
      <c r="A63" s="52">
        <v>2008</v>
      </c>
      <c r="B63" s="8">
        <v>14.029999999999998</v>
      </c>
      <c r="C63" s="8">
        <v>22.479999999999997</v>
      </c>
      <c r="D63" s="92">
        <v>52.95</v>
      </c>
      <c r="E63" s="8">
        <v>84.59</v>
      </c>
      <c r="F63" s="8">
        <v>156.21</v>
      </c>
      <c r="G63" s="92">
        <v>139.93000000000004</v>
      </c>
      <c r="H63" s="92">
        <v>116.67000000000002</v>
      </c>
      <c r="I63" s="8">
        <v>82.31</v>
      </c>
      <c r="J63" s="8">
        <v>62.7</v>
      </c>
      <c r="K63" s="92">
        <v>47.45</v>
      </c>
      <c r="L63" s="92">
        <v>20.49</v>
      </c>
      <c r="M63" s="8">
        <v>8.4499999999999993</v>
      </c>
      <c r="N63" s="90">
        <f t="shared" si="0"/>
        <v>808.26000000000022</v>
      </c>
      <c r="P63" s="52">
        <v>2008</v>
      </c>
      <c r="Q63" s="8">
        <v>15.88</v>
      </c>
      <c r="R63" s="8">
        <v>24.79</v>
      </c>
      <c r="S63" s="8">
        <v>65.330000000000013</v>
      </c>
      <c r="T63" s="8">
        <v>88.7</v>
      </c>
      <c r="U63" s="8">
        <v>138.28000000000003</v>
      </c>
      <c r="V63" s="8">
        <v>147.69000000000003</v>
      </c>
      <c r="W63" s="8">
        <v>129.84</v>
      </c>
      <c r="X63" s="8">
        <v>93.18</v>
      </c>
      <c r="Y63" s="8">
        <v>66.179999999999978</v>
      </c>
      <c r="Z63" s="8">
        <v>29.33</v>
      </c>
      <c r="AA63" s="8">
        <v>16.639999999999997</v>
      </c>
      <c r="AB63" s="8">
        <v>5.669999999999999</v>
      </c>
      <c r="AC63" s="4">
        <f t="shared" si="3"/>
        <v>821.51</v>
      </c>
    </row>
    <row r="64" spans="1:29" x14ac:dyDescent="0.25">
      <c r="A64" s="52">
        <v>2009</v>
      </c>
      <c r="B64" s="92">
        <v>19.700000000000003</v>
      </c>
      <c r="C64" s="8">
        <v>57.249999999999986</v>
      </c>
      <c r="D64" s="8">
        <v>55.609999999999992</v>
      </c>
      <c r="E64" s="8">
        <v>120.15000000000002</v>
      </c>
      <c r="F64" s="8">
        <v>141.88</v>
      </c>
      <c r="G64" s="8">
        <v>115.94</v>
      </c>
      <c r="H64" s="8">
        <v>129.54</v>
      </c>
      <c r="I64" s="8">
        <v>122.46999999999998</v>
      </c>
      <c r="J64" s="8">
        <v>68.12</v>
      </c>
      <c r="K64" s="92">
        <v>21.889999999999997</v>
      </c>
      <c r="L64" s="8">
        <v>16.939999999999994</v>
      </c>
      <c r="M64" s="8">
        <v>12.46</v>
      </c>
      <c r="N64" s="90">
        <f t="shared" si="0"/>
        <v>881.94999999999993</v>
      </c>
      <c r="P64" s="52">
        <v>2009</v>
      </c>
      <c r="Q64" s="8">
        <v>40.570000000000014</v>
      </c>
      <c r="R64" s="8">
        <v>93.37</v>
      </c>
      <c r="S64" s="8">
        <v>81.639999999999986</v>
      </c>
      <c r="T64" s="8">
        <v>109.38000000000001</v>
      </c>
      <c r="U64" s="8">
        <v>131.59</v>
      </c>
      <c r="V64" s="8">
        <v>97.94</v>
      </c>
      <c r="W64" s="8">
        <v>126.55000000000003</v>
      </c>
      <c r="X64" s="8">
        <v>118.51000000000003</v>
      </c>
      <c r="Y64" s="8">
        <v>78.38000000000001</v>
      </c>
      <c r="Z64" s="8">
        <v>24.840000000000003</v>
      </c>
      <c r="AA64" s="8">
        <v>11.010000000000002</v>
      </c>
      <c r="AB64" s="8">
        <v>12.14</v>
      </c>
      <c r="AC64" s="4">
        <f t="shared" si="3"/>
        <v>925.92000000000007</v>
      </c>
    </row>
    <row r="65" spans="1:29" x14ac:dyDescent="0.25">
      <c r="A65" s="52">
        <v>2010</v>
      </c>
      <c r="B65" s="92" t="s">
        <v>13</v>
      </c>
      <c r="C65" s="8">
        <v>82.289999999999992</v>
      </c>
      <c r="D65" s="8">
        <v>110.15000000000002</v>
      </c>
      <c r="E65" s="8">
        <v>91.42</v>
      </c>
      <c r="F65" s="8">
        <v>103</v>
      </c>
      <c r="G65" s="8">
        <v>125.10999999999999</v>
      </c>
      <c r="H65" s="8">
        <v>129.38</v>
      </c>
      <c r="I65" s="8">
        <v>105.64999999999998</v>
      </c>
      <c r="J65" s="8">
        <v>71.120000000000019</v>
      </c>
      <c r="K65" s="92">
        <v>48.179999999999986</v>
      </c>
      <c r="L65" s="92">
        <v>11.620000000000001</v>
      </c>
      <c r="M65" s="92">
        <v>23.21</v>
      </c>
      <c r="N65" s="90">
        <f t="shared" si="0"/>
        <v>901.13</v>
      </c>
      <c r="P65" s="52">
        <v>2010</v>
      </c>
      <c r="Q65" s="8">
        <v>56.139999999999993</v>
      </c>
      <c r="R65" s="8">
        <v>85.23</v>
      </c>
      <c r="S65" s="8">
        <v>153.82000000000005</v>
      </c>
      <c r="T65" s="8">
        <v>80.579999999999984</v>
      </c>
      <c r="U65" s="8">
        <v>106.10000000000001</v>
      </c>
      <c r="V65" s="8">
        <v>117.44</v>
      </c>
      <c r="W65" s="8">
        <v>129.70000000000002</v>
      </c>
      <c r="X65" s="8">
        <v>109.56999999999996</v>
      </c>
      <c r="Y65" s="8">
        <v>59.47999999999999</v>
      </c>
      <c r="Z65" s="8">
        <v>47.120000000000005</v>
      </c>
      <c r="AA65" s="8">
        <v>10.969999999999997</v>
      </c>
      <c r="AB65" s="8">
        <v>33.06</v>
      </c>
      <c r="AC65" s="4">
        <f t="shared" si="3"/>
        <v>989.21</v>
      </c>
    </row>
    <row r="66" spans="1:29" x14ac:dyDescent="0.25">
      <c r="A66" s="52">
        <v>2011</v>
      </c>
      <c r="B66" s="92">
        <v>36.160000000000004</v>
      </c>
      <c r="C66" s="8">
        <v>95.65000000000002</v>
      </c>
      <c r="D66" s="8">
        <v>71.7</v>
      </c>
      <c r="E66" s="8">
        <v>93.029999999999987</v>
      </c>
      <c r="F66" s="8">
        <v>120.79</v>
      </c>
      <c r="G66" s="8">
        <v>132.59</v>
      </c>
      <c r="H66" s="8">
        <v>90.630000000000024</v>
      </c>
      <c r="I66" s="8">
        <v>99.440000000000012</v>
      </c>
      <c r="J66" s="8">
        <v>74.57999999999997</v>
      </c>
      <c r="K66" s="8">
        <v>48.930000000000007</v>
      </c>
      <c r="L66" s="8">
        <v>17.97</v>
      </c>
      <c r="M66" s="8">
        <v>11.049999999999999</v>
      </c>
      <c r="N66" s="90">
        <f t="shared" si="0"/>
        <v>892.52</v>
      </c>
      <c r="P66" s="52">
        <v>2011</v>
      </c>
      <c r="Q66" s="8">
        <v>41.099999999999994</v>
      </c>
      <c r="R66" s="8">
        <v>112.99</v>
      </c>
      <c r="S66" s="8">
        <v>112.87000000000002</v>
      </c>
      <c r="T66" s="8">
        <v>89.39</v>
      </c>
      <c r="U66" s="8">
        <v>119.83</v>
      </c>
      <c r="V66" s="8">
        <v>125.01999999999998</v>
      </c>
      <c r="W66" s="8">
        <v>107.85</v>
      </c>
      <c r="X66" s="8">
        <v>116.35999999999997</v>
      </c>
      <c r="Y66" s="92">
        <v>65.569999999999993</v>
      </c>
      <c r="Z66" s="8">
        <v>45.660000000000004</v>
      </c>
      <c r="AA66" s="8">
        <v>12.900000000000002</v>
      </c>
      <c r="AB66" s="8">
        <v>6.5600000000000005</v>
      </c>
      <c r="AC66" s="4">
        <f t="shared" si="3"/>
        <v>956.09999999999991</v>
      </c>
    </row>
    <row r="67" spans="1:29" x14ac:dyDescent="0.25">
      <c r="A67" s="52">
        <v>2012</v>
      </c>
      <c r="B67" s="8">
        <v>37.76</v>
      </c>
      <c r="C67" s="8">
        <v>90.940000000000026</v>
      </c>
      <c r="D67" s="8">
        <v>72.819999999999979</v>
      </c>
      <c r="E67" s="8">
        <v>104.44999999999997</v>
      </c>
      <c r="F67" s="8">
        <v>146.63</v>
      </c>
      <c r="G67" s="8">
        <v>131.44999999999996</v>
      </c>
      <c r="H67" s="8">
        <v>127.82999999999998</v>
      </c>
      <c r="I67" s="8">
        <v>98.22999999999999</v>
      </c>
      <c r="J67" s="92" t="s">
        <v>13</v>
      </c>
      <c r="K67" s="92">
        <v>31.389999999999993</v>
      </c>
      <c r="L67" s="8">
        <v>12.709999999999997</v>
      </c>
      <c r="M67" s="8">
        <v>30.65</v>
      </c>
      <c r="N67" s="90">
        <f t="shared" si="0"/>
        <v>884.8599999999999</v>
      </c>
      <c r="P67" s="52">
        <v>2012</v>
      </c>
      <c r="Q67" s="8">
        <v>36.830000000000005</v>
      </c>
      <c r="R67" s="8">
        <v>100.23000000000002</v>
      </c>
      <c r="S67" s="8">
        <v>47.62</v>
      </c>
      <c r="T67" s="8">
        <v>112.49000000000001</v>
      </c>
      <c r="U67" s="8">
        <v>156.45000000000005</v>
      </c>
      <c r="V67" s="8">
        <v>125.67999999999998</v>
      </c>
      <c r="W67" s="8">
        <v>138.98999999999995</v>
      </c>
      <c r="X67" s="8">
        <v>103.08000000000001</v>
      </c>
      <c r="Y67" s="8">
        <v>69.08</v>
      </c>
      <c r="Z67" s="8">
        <v>38.299999999999997</v>
      </c>
      <c r="AA67" s="8">
        <v>11.02</v>
      </c>
      <c r="AB67" s="8">
        <v>30.55</v>
      </c>
      <c r="AC67" s="4">
        <f t="shared" si="3"/>
        <v>970.31999999999994</v>
      </c>
    </row>
    <row r="68" spans="1:29" x14ac:dyDescent="0.25">
      <c r="A68" s="52">
        <v>2013</v>
      </c>
      <c r="B68" s="8">
        <v>40.17</v>
      </c>
      <c r="C68" s="8">
        <v>69.34</v>
      </c>
      <c r="D68" s="8">
        <v>94.139999999999986</v>
      </c>
      <c r="E68" s="8">
        <v>135.17999999999995</v>
      </c>
      <c r="F68" s="92">
        <v>109.70000000000002</v>
      </c>
      <c r="G68" s="92">
        <v>93.77000000000001</v>
      </c>
      <c r="H68" s="92" t="s">
        <v>13</v>
      </c>
      <c r="I68" s="92">
        <v>101.29000000000002</v>
      </c>
      <c r="J68" s="8">
        <v>64.14</v>
      </c>
      <c r="K68" s="8">
        <v>35.329999999999991</v>
      </c>
      <c r="L68" s="92" t="s">
        <v>13</v>
      </c>
      <c r="M68" s="92">
        <v>5.0200000000000005</v>
      </c>
      <c r="N68" s="90">
        <f t="shared" si="0"/>
        <v>748.07999999999993</v>
      </c>
      <c r="P68" s="52">
        <v>2013</v>
      </c>
      <c r="Q68" s="92">
        <v>43.099999999999994</v>
      </c>
      <c r="R68" s="8">
        <v>80.990000000000009</v>
      </c>
      <c r="S68" s="8">
        <v>163.31</v>
      </c>
      <c r="T68" s="8">
        <v>156.44999999999999</v>
      </c>
      <c r="U68" s="8">
        <v>136.65</v>
      </c>
      <c r="V68" s="8">
        <v>135.32000000000002</v>
      </c>
      <c r="W68" s="8">
        <v>123.97000000000003</v>
      </c>
      <c r="X68" s="8">
        <v>136.06</v>
      </c>
      <c r="Y68" s="8">
        <v>64.14</v>
      </c>
      <c r="Z68" s="8">
        <v>33.300000000000004</v>
      </c>
      <c r="AA68" s="8">
        <v>12.36</v>
      </c>
      <c r="AB68" s="8">
        <v>14.970000000000004</v>
      </c>
      <c r="AC68" s="90">
        <f t="shared" si="3"/>
        <v>1100.6200000000001</v>
      </c>
    </row>
    <row r="69" spans="1:29" x14ac:dyDescent="0.25">
      <c r="A69" s="52">
        <v>2014</v>
      </c>
      <c r="B69" s="8">
        <v>40.759999999999991</v>
      </c>
      <c r="C69" s="8">
        <v>33.83</v>
      </c>
      <c r="D69" s="8">
        <v>65.95</v>
      </c>
      <c r="E69" s="92">
        <v>119.12</v>
      </c>
      <c r="F69" s="8">
        <v>144.32000000000002</v>
      </c>
      <c r="G69" s="8">
        <v>129.33000000000001</v>
      </c>
      <c r="H69" s="8">
        <v>148.20000000000002</v>
      </c>
      <c r="I69" s="8">
        <v>102.35</v>
      </c>
      <c r="J69" s="8">
        <v>84.429999999999993</v>
      </c>
      <c r="K69" s="8">
        <v>39.32</v>
      </c>
      <c r="L69" s="92">
        <v>12.27</v>
      </c>
      <c r="M69" s="8">
        <v>11.420000000000002</v>
      </c>
      <c r="N69" s="90">
        <f t="shared" si="0"/>
        <v>931.30000000000007</v>
      </c>
      <c r="P69" s="52">
        <v>2014</v>
      </c>
      <c r="Q69" s="8">
        <v>48.949999999999996</v>
      </c>
      <c r="R69" s="8">
        <v>30.270000000000007</v>
      </c>
      <c r="S69" s="8">
        <v>56.89</v>
      </c>
      <c r="T69" s="8">
        <v>116.77000000000001</v>
      </c>
      <c r="U69" s="8">
        <v>130.67000000000002</v>
      </c>
      <c r="V69" s="8">
        <v>122.47</v>
      </c>
      <c r="W69" s="8">
        <v>143.76</v>
      </c>
      <c r="X69" s="8">
        <v>102.49000000000002</v>
      </c>
      <c r="Y69" s="8">
        <v>88.99</v>
      </c>
      <c r="Z69" s="8">
        <v>47.579999999999984</v>
      </c>
      <c r="AA69" s="8">
        <v>13.76</v>
      </c>
      <c r="AB69" s="8">
        <v>13.200000000000001</v>
      </c>
      <c r="AC69" s="4">
        <f t="shared" si="3"/>
        <v>915.80000000000018</v>
      </c>
    </row>
    <row r="70" spans="1:29" x14ac:dyDescent="0.25">
      <c r="A70" s="52">
        <v>2015</v>
      </c>
      <c r="B70" s="92">
        <v>19.440000000000001</v>
      </c>
      <c r="C70" s="8">
        <v>35.799999999999997</v>
      </c>
      <c r="D70" s="8">
        <v>65.290000000000006</v>
      </c>
      <c r="E70" s="8">
        <v>99.960000000000008</v>
      </c>
      <c r="F70" s="8">
        <v>139.13999999999999</v>
      </c>
      <c r="G70" s="8">
        <v>153.81</v>
      </c>
      <c r="H70" s="8">
        <v>128.58999999999997</v>
      </c>
      <c r="I70" s="8">
        <v>140.91</v>
      </c>
      <c r="J70" s="8">
        <v>75.150000000000006</v>
      </c>
      <c r="K70" s="8">
        <v>52.309999999999995</v>
      </c>
      <c r="L70" s="8">
        <v>13.649999999999997</v>
      </c>
      <c r="M70" s="8">
        <v>10.72</v>
      </c>
      <c r="N70" s="90">
        <f t="shared" si="0"/>
        <v>934.76999999999987</v>
      </c>
      <c r="P70" s="52">
        <v>2015</v>
      </c>
      <c r="Q70" s="8">
        <v>31.29</v>
      </c>
      <c r="R70" s="8">
        <v>39.349999999999994</v>
      </c>
      <c r="S70" s="8">
        <v>60.089999999999989</v>
      </c>
      <c r="T70" s="8">
        <v>91.760000000000034</v>
      </c>
      <c r="U70" s="8">
        <v>128.74</v>
      </c>
      <c r="V70" s="8">
        <v>157.48999999999998</v>
      </c>
      <c r="W70" s="8">
        <v>126.51</v>
      </c>
      <c r="X70" s="8">
        <v>135.76</v>
      </c>
      <c r="Y70" s="8">
        <v>65.699999999999989</v>
      </c>
      <c r="Z70" s="8">
        <v>46.169999999999995</v>
      </c>
      <c r="AA70" s="8">
        <v>11.55</v>
      </c>
      <c r="AB70" s="8">
        <v>14.43</v>
      </c>
      <c r="AC70" s="4">
        <f t="shared" si="3"/>
        <v>908.83999999999992</v>
      </c>
    </row>
    <row r="71" spans="1:29" x14ac:dyDescent="0.25">
      <c r="A71" s="52">
        <v>2016</v>
      </c>
      <c r="B71" s="8">
        <v>30.43</v>
      </c>
      <c r="C71" s="8">
        <v>31.220000000000002</v>
      </c>
      <c r="D71" s="8">
        <v>59.73</v>
      </c>
      <c r="E71" s="92">
        <v>95.500000000000014</v>
      </c>
      <c r="F71" s="8">
        <v>153.06</v>
      </c>
      <c r="G71" s="8">
        <v>160.15</v>
      </c>
      <c r="H71" s="8">
        <v>129.82999999999998</v>
      </c>
      <c r="I71" s="8">
        <v>101.94999999999996</v>
      </c>
      <c r="J71" s="8">
        <v>92.320000000000022</v>
      </c>
      <c r="K71" s="8">
        <v>33.389999999999993</v>
      </c>
      <c r="L71" s="8">
        <v>20.719999999999995</v>
      </c>
      <c r="M71" s="8">
        <v>11.96</v>
      </c>
      <c r="N71" s="90">
        <f t="shared" si="0"/>
        <v>920.2600000000001</v>
      </c>
      <c r="P71" s="52">
        <v>2016</v>
      </c>
      <c r="Q71" s="8">
        <v>48.650000000000013</v>
      </c>
      <c r="R71" s="8">
        <v>23.36</v>
      </c>
      <c r="S71" s="8">
        <v>50.120000000000005</v>
      </c>
      <c r="T71" s="8">
        <v>74.739999999999995</v>
      </c>
      <c r="U71" s="8">
        <v>141.15</v>
      </c>
      <c r="V71" s="8">
        <v>128.08999999999997</v>
      </c>
      <c r="W71" s="8">
        <v>100.00000000000003</v>
      </c>
      <c r="X71" s="8">
        <v>95.69</v>
      </c>
      <c r="Y71" s="8">
        <v>72.830000000000027</v>
      </c>
      <c r="Z71" s="92">
        <v>27.530000000000005</v>
      </c>
      <c r="AA71" s="8">
        <v>20.549999999999997</v>
      </c>
      <c r="AB71" s="8">
        <v>15.629999999999997</v>
      </c>
      <c r="AC71" s="90">
        <f t="shared" si="3"/>
        <v>798.33999999999992</v>
      </c>
    </row>
    <row r="72" spans="1:29" x14ac:dyDescent="0.25">
      <c r="A72" s="52">
        <v>2017</v>
      </c>
      <c r="B72" s="4">
        <v>36.75</v>
      </c>
      <c r="C72" s="4">
        <v>33.919999999999995</v>
      </c>
      <c r="D72" s="4">
        <v>84.669999999999973</v>
      </c>
      <c r="E72" s="4">
        <v>107.22</v>
      </c>
      <c r="F72" s="4">
        <v>176</v>
      </c>
      <c r="G72" s="4">
        <v>143.04</v>
      </c>
      <c r="H72" s="4">
        <v>123.95000000000002</v>
      </c>
      <c r="I72" s="4">
        <v>114.47</v>
      </c>
      <c r="J72" s="4">
        <v>64.97999999999999</v>
      </c>
      <c r="K72" s="4">
        <v>35.460000000000015</v>
      </c>
      <c r="L72" s="4">
        <v>15.079999999999998</v>
      </c>
      <c r="M72" s="4">
        <v>12.6</v>
      </c>
      <c r="N72" s="4">
        <f t="shared" si="0"/>
        <v>948.1400000000001</v>
      </c>
      <c r="P72" s="52">
        <v>2017</v>
      </c>
      <c r="Q72" s="8">
        <v>36.470000000000006</v>
      </c>
      <c r="R72" s="8">
        <v>29.87</v>
      </c>
      <c r="S72" s="8">
        <v>48.01</v>
      </c>
      <c r="T72" s="92">
        <v>67.029999999999987</v>
      </c>
      <c r="U72" s="8">
        <v>138.52000000000001</v>
      </c>
      <c r="V72" s="8">
        <v>108.55999999999999</v>
      </c>
      <c r="W72" s="8">
        <v>114.85999999999997</v>
      </c>
      <c r="X72" s="8">
        <v>105.48</v>
      </c>
      <c r="Y72" s="92">
        <v>46.800000000000004</v>
      </c>
      <c r="Z72" s="8">
        <v>25.819999999999997</v>
      </c>
      <c r="AA72" s="8">
        <v>10.970000000000002</v>
      </c>
      <c r="AB72" s="8">
        <v>11.699999999999998</v>
      </c>
      <c r="AC72" s="90">
        <f t="shared" si="3"/>
        <v>744.09</v>
      </c>
    </row>
    <row r="73" spans="1:29" x14ac:dyDescent="0.25">
      <c r="A73" s="52">
        <v>2018</v>
      </c>
      <c r="B73" s="4">
        <v>21.01</v>
      </c>
      <c r="C73" s="8">
        <v>121.51000000000002</v>
      </c>
      <c r="D73" s="8">
        <v>122.63999999999997</v>
      </c>
      <c r="E73" s="92">
        <v>85.779999999999973</v>
      </c>
      <c r="F73" s="92" t="s">
        <v>13</v>
      </c>
      <c r="G73" s="8">
        <v>160.20000000000002</v>
      </c>
      <c r="H73" s="8">
        <v>118.27</v>
      </c>
      <c r="I73" s="8">
        <v>110.39999999999996</v>
      </c>
      <c r="J73" s="8">
        <v>86.739999999999981</v>
      </c>
      <c r="K73" s="8">
        <v>65.17</v>
      </c>
      <c r="L73" s="8">
        <v>25.95</v>
      </c>
      <c r="M73" s="8">
        <v>25.399999999999995</v>
      </c>
      <c r="N73" s="90">
        <f t="shared" si="0"/>
        <v>943.06999999999994</v>
      </c>
      <c r="P73" s="52">
        <v>2018</v>
      </c>
      <c r="Q73" s="8">
        <v>23.230000000000004</v>
      </c>
      <c r="R73" s="8">
        <v>91.59</v>
      </c>
      <c r="S73" s="8">
        <v>116.05999999999997</v>
      </c>
      <c r="T73" s="8">
        <v>110.77999999999997</v>
      </c>
      <c r="U73" s="8">
        <v>194.73999999999995</v>
      </c>
      <c r="V73" s="8">
        <v>150.01000000000005</v>
      </c>
      <c r="W73" s="8">
        <v>119.00000000000003</v>
      </c>
      <c r="X73" s="8">
        <v>117.39000000000001</v>
      </c>
      <c r="Y73" s="8">
        <v>85.47999999999999</v>
      </c>
      <c r="Z73" s="8">
        <v>52.759999999999984</v>
      </c>
      <c r="AA73" s="8">
        <v>10.100000000000001</v>
      </c>
      <c r="AB73" s="8">
        <v>17.170000000000002</v>
      </c>
      <c r="AC73" s="4">
        <f t="shared" si="3"/>
        <v>1088.3099999999997</v>
      </c>
    </row>
    <row r="74" spans="1:29" x14ac:dyDescent="0.25">
      <c r="A74" s="52">
        <v>2019</v>
      </c>
      <c r="B74" s="4">
        <v>56.300000000000004</v>
      </c>
      <c r="C74" s="4">
        <v>55.56</v>
      </c>
      <c r="D74" s="4">
        <v>73.83</v>
      </c>
      <c r="E74" s="4">
        <v>155.26</v>
      </c>
      <c r="F74" s="4">
        <v>153.34000000000003</v>
      </c>
      <c r="G74" s="4">
        <v>194.45</v>
      </c>
      <c r="H74" s="4">
        <v>170.84000000000003</v>
      </c>
      <c r="I74" s="4">
        <v>140.62999999999997</v>
      </c>
      <c r="J74" s="4">
        <v>86.800000000000011</v>
      </c>
      <c r="K74" s="4">
        <v>50.669999999999995</v>
      </c>
      <c r="L74" s="90">
        <v>4.72</v>
      </c>
      <c r="M74" s="90" t="s">
        <v>13</v>
      </c>
      <c r="N74" s="90">
        <f t="shared" si="0"/>
        <v>1142.4000000000001</v>
      </c>
      <c r="P74" s="52">
        <v>2019</v>
      </c>
      <c r="Q74" s="2">
        <v>52.98</v>
      </c>
      <c r="R74" s="8">
        <v>45.929999999999993</v>
      </c>
      <c r="S74" s="8">
        <v>62.819999999999986</v>
      </c>
      <c r="T74" s="8">
        <v>135.27000000000004</v>
      </c>
      <c r="U74" s="8">
        <v>126.60999999999997</v>
      </c>
      <c r="V74" s="8">
        <v>161.34999999999997</v>
      </c>
      <c r="W74" s="8">
        <v>134.32999999999998</v>
      </c>
      <c r="X74" s="8">
        <v>112.27</v>
      </c>
      <c r="Y74" s="8">
        <v>74.840000000000018</v>
      </c>
      <c r="Z74" s="8">
        <v>37.33</v>
      </c>
      <c r="AA74" s="8">
        <v>14.43</v>
      </c>
      <c r="AB74" s="8">
        <v>12.78</v>
      </c>
      <c r="AC74" s="4">
        <f t="shared" si="3"/>
        <v>970.93999999999994</v>
      </c>
    </row>
    <row r="75" spans="1:29" x14ac:dyDescent="0.25">
      <c r="A75" s="52">
        <v>2020</v>
      </c>
      <c r="B75" s="95" t="s">
        <v>13</v>
      </c>
      <c r="C75" s="8">
        <v>21.470000000000002</v>
      </c>
      <c r="D75" s="8">
        <v>78.300000000000011</v>
      </c>
      <c r="E75" s="8">
        <v>124.52000000000001</v>
      </c>
      <c r="F75" s="8">
        <v>159.10999999999999</v>
      </c>
      <c r="G75" s="8">
        <v>134.83000000000001</v>
      </c>
      <c r="H75" s="8">
        <v>135.36000000000001</v>
      </c>
      <c r="I75" s="8">
        <v>117.49</v>
      </c>
      <c r="J75" s="8">
        <v>83.77000000000001</v>
      </c>
      <c r="K75" s="8">
        <v>34.809999999999988</v>
      </c>
      <c r="L75" s="8">
        <v>10.52</v>
      </c>
      <c r="M75" s="8">
        <v>10.419999999999998</v>
      </c>
      <c r="N75" s="90">
        <f t="shared" si="0"/>
        <v>910.59999999999991</v>
      </c>
      <c r="P75" s="52">
        <v>2020</v>
      </c>
      <c r="Q75" s="95" t="s">
        <v>13</v>
      </c>
      <c r="R75" s="8">
        <v>21.570000000000004</v>
      </c>
      <c r="S75" s="8">
        <v>67.88000000000001</v>
      </c>
      <c r="T75" s="8">
        <v>104.44999999999999</v>
      </c>
      <c r="U75" s="8">
        <v>136.25999999999996</v>
      </c>
      <c r="V75" s="8">
        <v>139.86999999999998</v>
      </c>
      <c r="W75" s="8">
        <v>127.23000000000003</v>
      </c>
      <c r="X75" s="8">
        <v>112.86000000000001</v>
      </c>
      <c r="Y75" s="8">
        <v>82.18</v>
      </c>
      <c r="Z75" s="8">
        <v>29.43</v>
      </c>
      <c r="AA75" s="8">
        <v>10.610000000000001</v>
      </c>
      <c r="AB75" s="8">
        <v>8</v>
      </c>
      <c r="AC75" s="90">
        <f t="shared" si="3"/>
        <v>840.33999999999992</v>
      </c>
    </row>
    <row r="76" spans="1:29" x14ac:dyDescent="0.25">
      <c r="A76" s="52">
        <v>2021</v>
      </c>
      <c r="B76" s="4">
        <v>39.549999999999997</v>
      </c>
      <c r="C76" s="4">
        <v>100.17</v>
      </c>
      <c r="D76" s="4">
        <v>58.71</v>
      </c>
      <c r="E76" s="4">
        <v>92.43</v>
      </c>
      <c r="F76" s="4">
        <v>141.69</v>
      </c>
      <c r="G76" s="90">
        <v>148.97999999999999</v>
      </c>
      <c r="H76" s="4">
        <v>142.72</v>
      </c>
      <c r="I76" s="4">
        <v>95.25</v>
      </c>
      <c r="J76" s="4">
        <v>81.069999999999993</v>
      </c>
      <c r="K76" s="4">
        <v>48.68</v>
      </c>
      <c r="L76" s="4">
        <v>16.11</v>
      </c>
      <c r="M76" s="90">
        <v>25.48</v>
      </c>
      <c r="N76" s="90">
        <f t="shared" si="0"/>
        <v>990.83999999999992</v>
      </c>
      <c r="P76" s="52">
        <v>2021</v>
      </c>
      <c r="Q76" s="4">
        <v>43.960000000000008</v>
      </c>
      <c r="R76" s="4">
        <v>115.32000000000001</v>
      </c>
      <c r="S76" s="4">
        <v>59.839999999999989</v>
      </c>
      <c r="T76" s="4">
        <v>81.049999999999983</v>
      </c>
      <c r="U76" s="4">
        <v>122.25</v>
      </c>
      <c r="V76" s="90">
        <v>150.47999999999999</v>
      </c>
      <c r="W76" s="4">
        <v>139.14000000000001</v>
      </c>
      <c r="X76" s="4">
        <v>86.36999999999999</v>
      </c>
      <c r="Y76" s="4">
        <v>67.75</v>
      </c>
      <c r="Z76" s="4">
        <v>47.939999999999991</v>
      </c>
      <c r="AA76" s="4">
        <v>16.490000000000002</v>
      </c>
      <c r="AB76" s="4">
        <v>29.700000000000003</v>
      </c>
      <c r="AC76" s="90">
        <f t="shared" si="3"/>
        <v>960.29</v>
      </c>
    </row>
    <row r="77" spans="1:29" x14ac:dyDescent="0.25">
      <c r="A77" s="52">
        <v>2022</v>
      </c>
      <c r="B77" s="4">
        <v>24.55</v>
      </c>
      <c r="C77" s="4">
        <v>29.22</v>
      </c>
      <c r="D77" s="4">
        <v>87.72</v>
      </c>
      <c r="E77" s="4">
        <v>102.21</v>
      </c>
      <c r="F77" s="4">
        <v>131.36000000000001</v>
      </c>
      <c r="G77" s="90">
        <v>140.62</v>
      </c>
      <c r="H77" s="4">
        <v>136.32</v>
      </c>
      <c r="I77" s="4">
        <v>127.5</v>
      </c>
      <c r="J77" s="4">
        <v>77.010000000000005</v>
      </c>
      <c r="K77" s="4">
        <v>42.08</v>
      </c>
      <c r="L77" s="4">
        <v>17.579999999999998</v>
      </c>
      <c r="M77" s="4">
        <v>23.56</v>
      </c>
      <c r="N77" s="90">
        <f t="shared" si="0"/>
        <v>939.73</v>
      </c>
      <c r="P77" s="52">
        <v>2022</v>
      </c>
      <c r="Q77" s="4">
        <v>25.809999999999992</v>
      </c>
      <c r="R77" s="4">
        <v>37.54</v>
      </c>
      <c r="S77" s="4">
        <v>95.2</v>
      </c>
      <c r="T77" s="4">
        <v>99.51</v>
      </c>
      <c r="U77" s="4">
        <v>122.25000000000001</v>
      </c>
      <c r="V77" s="90">
        <v>128.81</v>
      </c>
      <c r="W77" s="4">
        <v>131.28</v>
      </c>
      <c r="X77" s="4">
        <v>121.89</v>
      </c>
      <c r="Y77" s="4">
        <v>66.199999999999989</v>
      </c>
      <c r="Z77" s="95">
        <v>34.46</v>
      </c>
      <c r="AA77" s="2">
        <v>17.39</v>
      </c>
      <c r="AB77" s="2">
        <v>24.24</v>
      </c>
      <c r="AC77" s="90">
        <f t="shared" si="3"/>
        <v>904.58</v>
      </c>
    </row>
    <row r="78" spans="1:29" x14ac:dyDescent="0.25">
      <c r="A78" s="52">
        <v>2023</v>
      </c>
      <c r="B78" s="4">
        <v>19.100000000000001</v>
      </c>
      <c r="C78" s="4">
        <v>27.23</v>
      </c>
      <c r="D78" s="4">
        <v>86.88</v>
      </c>
      <c r="E78" s="4">
        <v>91.37</v>
      </c>
      <c r="F78" s="4">
        <v>169</v>
      </c>
      <c r="G78" s="4">
        <v>165.82</v>
      </c>
      <c r="H78" s="4">
        <v>147.86000000000001</v>
      </c>
      <c r="I78" s="4">
        <v>113.16</v>
      </c>
      <c r="J78" s="4">
        <v>97.71</v>
      </c>
      <c r="K78" s="4">
        <v>40.22</v>
      </c>
      <c r="L78" s="4">
        <v>21.66</v>
      </c>
      <c r="M78" s="90">
        <v>19.09</v>
      </c>
      <c r="N78" s="90">
        <f>SUM(B78:M78)</f>
        <v>999.1</v>
      </c>
      <c r="O78" s="1"/>
      <c r="P78" s="52">
        <v>2023</v>
      </c>
      <c r="Q78" s="4">
        <v>15</v>
      </c>
      <c r="R78" s="2">
        <v>22.77</v>
      </c>
      <c r="S78" s="2">
        <v>73.959999999999994</v>
      </c>
      <c r="T78" s="2">
        <v>89.49</v>
      </c>
      <c r="U78" s="4">
        <v>159.69999999999999</v>
      </c>
      <c r="V78" s="2">
        <v>150.84</v>
      </c>
      <c r="W78" s="4">
        <v>125.1</v>
      </c>
      <c r="X78" s="2">
        <v>93.48</v>
      </c>
      <c r="Y78" s="2">
        <v>92.15</v>
      </c>
      <c r="Z78" s="2">
        <v>34.659999999999997</v>
      </c>
      <c r="AA78" s="4">
        <v>15.8</v>
      </c>
      <c r="AB78" s="2">
        <v>13.89</v>
      </c>
      <c r="AC78" s="4">
        <f>SUM(Q78:AB78)</f>
        <v>886.83999999999992</v>
      </c>
    </row>
    <row r="79" spans="1:29" x14ac:dyDescent="0.25">
      <c r="A79" s="52">
        <v>2024</v>
      </c>
      <c r="B79" s="2">
        <v>31.85</v>
      </c>
      <c r="C79" s="2">
        <v>23.91</v>
      </c>
      <c r="D79" s="2">
        <v>59.16</v>
      </c>
      <c r="E79" s="2">
        <v>89.36</v>
      </c>
      <c r="F79" s="2">
        <v>181.87</v>
      </c>
      <c r="G79" s="2">
        <v>157.81</v>
      </c>
      <c r="H79" s="2">
        <v>146.03</v>
      </c>
      <c r="I79" s="2">
        <v>145.41999999999999</v>
      </c>
      <c r="J79" s="2">
        <v>98.33</v>
      </c>
      <c r="K79" s="2">
        <v>47.03</v>
      </c>
      <c r="L79" s="2">
        <v>15.34</v>
      </c>
      <c r="M79" s="2">
        <v>8.17</v>
      </c>
      <c r="N79" s="2">
        <f>SUM(B79:M79)</f>
        <v>1004.28</v>
      </c>
      <c r="P79" s="52">
        <v>2024</v>
      </c>
      <c r="Q79" s="2">
        <v>39.369999999999997</v>
      </c>
      <c r="R79" s="2">
        <v>19.38</v>
      </c>
      <c r="S79" s="2">
        <v>60.29</v>
      </c>
      <c r="T79" s="2">
        <v>82.72</v>
      </c>
      <c r="U79" s="2">
        <v>158.31</v>
      </c>
      <c r="V79" s="2">
        <v>135.44999999999999</v>
      </c>
      <c r="W79" s="4">
        <v>119.1</v>
      </c>
      <c r="X79" s="2">
        <v>287.07</v>
      </c>
      <c r="Y79" s="2">
        <v>83.96</v>
      </c>
      <c r="Z79" s="2">
        <v>42.52</v>
      </c>
      <c r="AA79" s="2">
        <v>12.05</v>
      </c>
      <c r="AB79" s="2">
        <v>6.09</v>
      </c>
      <c r="AC79" s="4">
        <f>SUM(Q79:AB79)</f>
        <v>1046.31</v>
      </c>
    </row>
    <row r="80" spans="1:29" x14ac:dyDescent="0.25">
      <c r="A80" s="52">
        <v>2025</v>
      </c>
      <c r="B80" s="2">
        <v>17.010000000000002</v>
      </c>
      <c r="C80" s="2">
        <v>43.45</v>
      </c>
      <c r="D80" s="2">
        <v>59.47</v>
      </c>
      <c r="E80" s="2">
        <v>111.52</v>
      </c>
      <c r="F80" s="2">
        <v>151.97</v>
      </c>
      <c r="G80" s="2">
        <v>146.66</v>
      </c>
      <c r="H80" s="2">
        <v>127.31</v>
      </c>
      <c r="I80" s="2">
        <v>119.42</v>
      </c>
      <c r="J80" s="4">
        <v>88.3</v>
      </c>
      <c r="K80" s="2">
        <v>46.68</v>
      </c>
      <c r="L80" s="2">
        <v>16.43</v>
      </c>
      <c r="M80" s="2">
        <v>9.14</v>
      </c>
      <c r="N80" s="2">
        <f>SUM(B80:M80)</f>
        <v>937.35999999999967</v>
      </c>
      <c r="P80" s="52">
        <v>2025</v>
      </c>
      <c r="Q80" s="2">
        <v>12.25</v>
      </c>
      <c r="R80" s="2">
        <v>31.74</v>
      </c>
      <c r="S80" s="2">
        <v>71.67</v>
      </c>
      <c r="T80" s="2">
        <v>115.57</v>
      </c>
      <c r="U80" s="2">
        <v>130.76</v>
      </c>
      <c r="V80" s="2">
        <v>125.78</v>
      </c>
      <c r="W80" s="2">
        <v>111.33</v>
      </c>
      <c r="X80" s="2">
        <v>104.95</v>
      </c>
      <c r="Y80" s="2">
        <v>82.15</v>
      </c>
      <c r="Z80" s="2">
        <v>42.73</v>
      </c>
      <c r="AA80" s="2">
        <v>18.93</v>
      </c>
      <c r="AB80" s="4">
        <v>9.4</v>
      </c>
      <c r="AC80" s="2">
        <f>SUM(Q80:AB80)</f>
        <v>857.26</v>
      </c>
    </row>
    <row r="84" spans="1:29" x14ac:dyDescent="0.25">
      <c r="A84" s="160" t="s">
        <v>29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  <c r="P84" s="160" t="s">
        <v>29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2"/>
    </row>
    <row r="85" spans="1:29" x14ac:dyDescent="0.25">
      <c r="A85" s="51"/>
      <c r="B85" s="52" t="s">
        <v>1</v>
      </c>
      <c r="C85" s="52" t="s">
        <v>2</v>
      </c>
      <c r="D85" s="52" t="s">
        <v>3</v>
      </c>
      <c r="E85" s="52" t="s">
        <v>4</v>
      </c>
      <c r="F85" s="52" t="s">
        <v>5</v>
      </c>
      <c r="G85" s="52" t="s">
        <v>6</v>
      </c>
      <c r="H85" s="52" t="s">
        <v>7</v>
      </c>
      <c r="I85" s="52" t="s">
        <v>8</v>
      </c>
      <c r="J85" s="52" t="s">
        <v>9</v>
      </c>
      <c r="K85" s="52" t="s">
        <v>10</v>
      </c>
      <c r="L85" s="52" t="s">
        <v>11</v>
      </c>
      <c r="M85" s="52" t="s">
        <v>12</v>
      </c>
      <c r="N85" s="52" t="s">
        <v>25</v>
      </c>
      <c r="P85" s="51"/>
      <c r="Q85" s="52" t="s">
        <v>1</v>
      </c>
      <c r="R85" s="52" t="s">
        <v>2</v>
      </c>
      <c r="S85" s="52" t="s">
        <v>3</v>
      </c>
      <c r="T85" s="52" t="s">
        <v>4</v>
      </c>
      <c r="U85" s="52" t="s">
        <v>5</v>
      </c>
      <c r="V85" s="52" t="s">
        <v>6</v>
      </c>
      <c r="W85" s="52" t="s">
        <v>7</v>
      </c>
      <c r="X85" s="52" t="s">
        <v>8</v>
      </c>
      <c r="Y85" s="52" t="s">
        <v>9</v>
      </c>
      <c r="Z85" s="52" t="s">
        <v>10</v>
      </c>
      <c r="AA85" s="52" t="s">
        <v>11</v>
      </c>
      <c r="AB85" s="52" t="s">
        <v>12</v>
      </c>
      <c r="AC85" s="52" t="s">
        <v>25</v>
      </c>
    </row>
    <row r="86" spans="1:29" x14ac:dyDescent="0.25">
      <c r="A86" s="53" t="s">
        <v>23</v>
      </c>
      <c r="B86" s="56">
        <f>MAX(B19:B37,B40:B42,B44:B45,B48,B50,B56:B63,B67:B69,B71:B74,B76:B80)</f>
        <v>75.361999999999995</v>
      </c>
      <c r="C86" s="56">
        <f>MAX(C19:C42,C44:C51,C54,C56:C57,C59:C80)</f>
        <v>121.51000000000002</v>
      </c>
      <c r="D86" s="56">
        <f>MAX(D19:D52,D55:D57,D59,D61:D62,D64:D80)</f>
        <v>312.11999999999995</v>
      </c>
      <c r="E86" s="56">
        <f>MAX(E19:E41,E44:E49,E51:E52,E54:E56,E61:E68,E70,E72,E59,E74:E80)</f>
        <v>155.69000000000003</v>
      </c>
      <c r="F86" s="56">
        <f>MAX(F19:F41,F44:F49,F52,F54,F56,F59:F67,F69:F72,F74:F80)</f>
        <v>208.49999999999997</v>
      </c>
      <c r="G86" s="56">
        <f>MAX(G19:G41,G46:G49,G43:G44,G51,G53,G56:G57,G64:G67,G59:G62,G69:G75,G78:G80)</f>
        <v>266.33</v>
      </c>
      <c r="H86" s="56">
        <f>MAX(H19:H38,H40:H41,H43:H49,H55:H56,H64:H67,H51,H69:H80,H59:H62)</f>
        <v>309.89999999999998</v>
      </c>
      <c r="I86" s="56">
        <f>MAX(I19:I41,I44,I46:I49,I51:I52,I55:I57,I59:I67,I69:I80)</f>
        <v>185.66</v>
      </c>
      <c r="J86" s="56">
        <f>MAX(J19:J41,J45:J49,J51:J52,J54,J57,J68:J80,J60:J66)</f>
        <v>105.88</v>
      </c>
      <c r="K86" s="56">
        <f>MAX(K19:K41,K54:K57,K60:K62,K66,K44,K46:K51,K68:K80)</f>
        <v>68.210000000000008</v>
      </c>
      <c r="L86" s="56">
        <f>MAX(L19:L37,L54,L56:L57,L59:L62,L64,L66:L67,L39:L42,L70:L73,L46:L47,L75:L80)</f>
        <v>29.89</v>
      </c>
      <c r="M86" s="56">
        <f>MAX(M19:M34,M38:M41,M36,M44,M47,M75,M59:M64,M66:M67,M69:M73,M79:M80,M77)</f>
        <v>30.65</v>
      </c>
      <c r="N86" s="99">
        <f>MAX(N19,N21:N34,N40:N41,N61:N62,N79:N80,N72,N36)</f>
        <v>1065.9657752000001</v>
      </c>
      <c r="P86" s="53" t="s">
        <v>23</v>
      </c>
      <c r="Q86" s="56">
        <f>MAX(Q37,Q39:Q43,Q46,Q48:Q67,Q69:Q74,Q76:Q80)</f>
        <v>71.849999999999994</v>
      </c>
      <c r="R86" s="56">
        <f>MAX(R37,R39:R44,R46:R47,R50:R80)</f>
        <v>132.33000000000001</v>
      </c>
      <c r="S86" s="56">
        <f>MAX(S37,S39:S46,S48:S80)</f>
        <v>250.57</v>
      </c>
      <c r="T86" s="56">
        <f>MAX(T37,T39:T42,T45:T46,T48:T50,T52:T71,T73:T80)</f>
        <v>156.44999999999999</v>
      </c>
      <c r="U86" s="56">
        <f>MAX(U37,U39:U42,U44:U80)</f>
        <v>194.73999999999995</v>
      </c>
      <c r="V86" s="56">
        <f>MAX(V37,V39,V41:V42,V46:V75,V78:V80)</f>
        <v>172.07999999999998</v>
      </c>
      <c r="W86" s="56">
        <f>MAX(W37:W38,W40:W42,W44,W46:W80)</f>
        <v>167.22999999999996</v>
      </c>
      <c r="X86" s="56">
        <f>MAX(X37:X80)</f>
        <v>287.07</v>
      </c>
      <c r="Y86" s="56">
        <f>MAX(Y37:Y44,Y46:Y65,Y67:Y71,Y73:Y80)</f>
        <v>92.210000000000008</v>
      </c>
      <c r="Z86" s="56">
        <f>MAX(Z37:Z44,Z46:Z70,Z72:Z76,Z78:Z80)</f>
        <v>54.89</v>
      </c>
      <c r="AA86" s="56">
        <f>MAX(AA37:AA42,AA44,AA46:AA80)</f>
        <v>34.81</v>
      </c>
      <c r="AB86" s="56">
        <f>MAX(AB38:AB42,AB44,AB47:AB60,AB62:AB80)</f>
        <v>37.549999999999997</v>
      </c>
      <c r="AC86" s="99">
        <f>MAX(AC41:AC42,AC50,AC52:AC60,AC62:AC67,P87,AC69:AC70,AC73:AC74,AC78:AC80)</f>
        <v>1157.49</v>
      </c>
    </row>
    <row r="87" spans="1:29" x14ac:dyDescent="0.25">
      <c r="A87" s="51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P87" s="51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1:29" x14ac:dyDescent="0.25">
      <c r="A88" s="54" t="s">
        <v>24</v>
      </c>
      <c r="B88" s="55">
        <f>MIN(B19:B37,B40:B42,B48,B44:B45,B50,B56:B63,B67:B69,B71:B74,B76:B80)</f>
        <v>8.3735999999999997</v>
      </c>
      <c r="C88" s="55">
        <f>MIN(C19:C42,C44:C51,C54,C56:C57,C59:C80)</f>
        <v>16.747</v>
      </c>
      <c r="D88" s="55">
        <f>MAX(D19:D52,D59,D55:D57,D61:D62,D64:D80)</f>
        <v>312.11999999999995</v>
      </c>
      <c r="E88" s="55">
        <f>MIN(E19:E41,E44:E49,E54:E56,E51:E52,E61:E68,E70,E72,E59,E74:E80)</f>
        <v>33.76</v>
      </c>
      <c r="F88" s="55">
        <f>MIN(F19:F41,F44:F49,F52,F54,F56,F59:F67,F69:F72,F74:F80)</f>
        <v>79.549000000000007</v>
      </c>
      <c r="G88" s="55">
        <f>MIN(G19:G41,G53,G46:G49,G51,G56:G57,G59:G62,G64:G67,G69:G75,G78:G80,G43:G44)</f>
        <v>67.460000000000008</v>
      </c>
      <c r="H88" s="55">
        <f>MIN(H19:H38,H40:H41,H43:H49,H59:H62,H51,H55:H56,H64:H67,H69:H80)</f>
        <v>75.361999999999995</v>
      </c>
      <c r="I88" s="55">
        <f>MIN(I19:I41,I44,I46:I49,I55:I57,I51:I52,I59:I67,I69:I80)</f>
        <v>66.989000000000004</v>
      </c>
      <c r="J88" s="55">
        <f>MIN(J19:J41,J45:J49,J54,J57,J60:J66,J68:J80,J51:J52)</f>
        <v>41.47</v>
      </c>
      <c r="K88" s="55">
        <f>MIN(K19:K41,K44,K53:K57,K60:K62,K66,K46:K51,K68:K80)</f>
        <v>12.56</v>
      </c>
      <c r="L88" s="55">
        <f>MIN(L19:L37,L54,L59:L62,L64,L66:L67,L70:L73,L46:L47,L39:L42,L75:L80,L56:L57)</f>
        <v>8.3735999999999997</v>
      </c>
      <c r="M88" s="55">
        <f>MIN(M19:M34,M38:M41,M47,M44,M36,M75,M59:M64,M66:M67,M69:M73,M79:M80,M77)</f>
        <v>6.6275999999999984</v>
      </c>
      <c r="N88" s="99">
        <f>MIN(N19,N21:N34,N40:N41,N61:N62,N79:N80,N72,N36)</f>
        <v>590.33979999999997</v>
      </c>
      <c r="P88" s="54" t="s">
        <v>24</v>
      </c>
      <c r="Q88" s="55">
        <f>MIN(Q37,Q39:Q43,Q46,Q48:Q67,Q69:Q74,Q76:Q80)</f>
        <v>12.25</v>
      </c>
      <c r="R88" s="55">
        <f>MIN(R37,R39:R44,R46:R47,R50:R80)</f>
        <v>19.38</v>
      </c>
      <c r="S88" s="55">
        <f>MIN(S37,S39:S46,S48:S80)</f>
        <v>28.85</v>
      </c>
      <c r="T88" s="55">
        <f>MIN(T37,T39:T42,T45:T46,T48:T50,T52:T71,T73:T80)</f>
        <v>49.04</v>
      </c>
      <c r="U88" s="55">
        <f>MIN(U37,U39:U42,U44:U80)</f>
        <v>93.259999999999977</v>
      </c>
      <c r="V88" s="55">
        <f>MIN(V37,V39,V41:V42,V46:V75,V78:V80)</f>
        <v>97.94</v>
      </c>
      <c r="W88" s="55">
        <f>MIN(W37:W38,W40:W42,W44,W46:W80)</f>
        <v>81.59999999999998</v>
      </c>
      <c r="X88" s="55">
        <f>MIN(X37:X80)</f>
        <v>74.070000000000007</v>
      </c>
      <c r="Y88" s="55">
        <f>MIN(Y37:Y44,Y46:Y65,Y67:Y71,Y73:Y80)</f>
        <v>44.69</v>
      </c>
      <c r="Z88" s="55">
        <f>MIN(Z37:Z70,Z72:Z76,Z78:Z80)</f>
        <v>19.259999999999994</v>
      </c>
      <c r="AA88" s="55">
        <f>MIN(AA37:AA42,AA44,AA46:AA80)</f>
        <v>6.1000000000000005</v>
      </c>
      <c r="AB88" s="55">
        <f>MIN(AB38:AB42,AB44,AB47:AB60,AB62:AB80)</f>
        <v>5.669999999999999</v>
      </c>
      <c r="AC88" s="99">
        <f>MIN(AC41:AC42,AC50,AC52:AC60,AC62:AC67,AC69:AC70,AC73:AC74,AC78:AC80)</f>
        <v>794.58000000000015</v>
      </c>
    </row>
  </sheetData>
  <mergeCells count="4">
    <mergeCell ref="A84:N84"/>
    <mergeCell ref="P84:AC84"/>
    <mergeCell ref="B9:J9"/>
    <mergeCell ref="Q9:Y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1648-3BF3-4D97-A6DF-50D588A8D8D1}">
  <dimension ref="A1:AC88"/>
  <sheetViews>
    <sheetView zoomScale="60" zoomScaleNormal="60" workbookViewId="0">
      <selection activeCell="L2" sqref="L2"/>
    </sheetView>
  </sheetViews>
  <sheetFormatPr defaultRowHeight="15" x14ac:dyDescent="0.25"/>
  <cols>
    <col min="1" max="1" width="13.42578125" customWidth="1"/>
    <col min="9" max="9" width="10.42578125" customWidth="1"/>
    <col min="16" max="16" width="14.85546875" customWidth="1"/>
    <col min="24" max="24" width="10.42578125" customWidth="1"/>
    <col min="29" max="29" width="10.85546875" customWidth="1"/>
  </cols>
  <sheetData>
    <row r="1" spans="1:29" ht="15.75" x14ac:dyDescent="0.25">
      <c r="A1" s="141" t="s">
        <v>54</v>
      </c>
      <c r="O1" s="140"/>
      <c r="P1" s="141" t="s">
        <v>41</v>
      </c>
    </row>
    <row r="2" spans="1:29" x14ac:dyDescent="0.25">
      <c r="A2" s="6" t="s">
        <v>31</v>
      </c>
      <c r="O2" s="140"/>
      <c r="P2" s="6" t="s">
        <v>31</v>
      </c>
    </row>
    <row r="3" spans="1:29" x14ac:dyDescent="0.25">
      <c r="A3" s="6" t="s">
        <v>21</v>
      </c>
      <c r="O3" s="140"/>
      <c r="P3" s="6" t="s">
        <v>42</v>
      </c>
    </row>
    <row r="4" spans="1:29" x14ac:dyDescent="0.25">
      <c r="A4" s="96"/>
      <c r="B4" s="3" t="s">
        <v>33</v>
      </c>
      <c r="O4" s="140"/>
      <c r="P4" s="137"/>
      <c r="Q4" s="3" t="s">
        <v>33</v>
      </c>
    </row>
    <row r="5" spans="1:29" x14ac:dyDescent="0.25">
      <c r="A5" s="43"/>
      <c r="B5" t="s">
        <v>57</v>
      </c>
      <c r="O5" s="140"/>
      <c r="P5" s="138"/>
      <c r="Q5" t="s">
        <v>57</v>
      </c>
    </row>
    <row r="6" spans="1:29" x14ac:dyDescent="0.25">
      <c r="O6" s="140"/>
    </row>
    <row r="7" spans="1:29" x14ac:dyDescent="0.25">
      <c r="O7" s="140"/>
    </row>
    <row r="8" spans="1:29" x14ac:dyDescent="0.25">
      <c r="A8" s="52" t="s">
        <v>0</v>
      </c>
      <c r="B8" s="54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4" t="s">
        <v>7</v>
      </c>
      <c r="I8" s="54" t="s">
        <v>8</v>
      </c>
      <c r="J8" s="54" t="s">
        <v>9</v>
      </c>
      <c r="K8" s="54" t="s">
        <v>10</v>
      </c>
      <c r="L8" s="54" t="s">
        <v>11</v>
      </c>
      <c r="M8" s="54" t="s">
        <v>12</v>
      </c>
      <c r="N8" s="54" t="s">
        <v>26</v>
      </c>
      <c r="O8" s="140"/>
      <c r="P8" s="52" t="s">
        <v>0</v>
      </c>
      <c r="Q8" s="54" t="s">
        <v>1</v>
      </c>
      <c r="R8" s="54" t="s">
        <v>2</v>
      </c>
      <c r="S8" s="54" t="s">
        <v>3</v>
      </c>
      <c r="T8" s="54" t="s">
        <v>4</v>
      </c>
      <c r="U8" s="54" t="s">
        <v>5</v>
      </c>
      <c r="V8" s="54" t="s">
        <v>6</v>
      </c>
      <c r="W8" s="54" t="s">
        <v>7</v>
      </c>
      <c r="X8" s="54" t="s">
        <v>8</v>
      </c>
      <c r="Y8" s="54" t="s">
        <v>9</v>
      </c>
      <c r="Z8" s="54" t="s">
        <v>10</v>
      </c>
      <c r="AA8" s="54" t="s">
        <v>11</v>
      </c>
      <c r="AB8" s="54" t="s">
        <v>12</v>
      </c>
      <c r="AC8" s="54" t="s">
        <v>26</v>
      </c>
    </row>
    <row r="9" spans="1:29" x14ac:dyDescent="0.25">
      <c r="A9" s="52">
        <v>1954</v>
      </c>
      <c r="B9" s="163" t="s">
        <v>50</v>
      </c>
      <c r="C9" s="164"/>
      <c r="D9" s="164"/>
      <c r="E9" s="164"/>
      <c r="F9" s="164"/>
      <c r="G9" s="164"/>
      <c r="H9" s="164"/>
      <c r="I9" s="164"/>
      <c r="J9" s="165"/>
      <c r="K9" s="38"/>
      <c r="L9" s="38"/>
      <c r="M9" s="45"/>
      <c r="N9" s="38"/>
      <c r="O9" s="140"/>
      <c r="P9" s="52">
        <v>1954</v>
      </c>
      <c r="Q9" s="163" t="s">
        <v>50</v>
      </c>
      <c r="R9" s="164"/>
      <c r="S9" s="164"/>
      <c r="T9" s="164"/>
      <c r="U9" s="164"/>
      <c r="V9" s="164"/>
      <c r="W9" s="164"/>
      <c r="X9" s="164"/>
      <c r="Y9" s="165"/>
      <c r="Z9" s="38"/>
      <c r="AA9" s="38"/>
      <c r="AB9" s="45"/>
      <c r="AC9" s="38"/>
    </row>
    <row r="10" spans="1:29" x14ac:dyDescent="0.25">
      <c r="A10" s="52">
        <v>1955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45"/>
      <c r="N10" s="38"/>
      <c r="P10" s="52">
        <v>1955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45"/>
      <c r="AC10" s="38"/>
    </row>
    <row r="11" spans="1:29" x14ac:dyDescent="0.25">
      <c r="A11" s="52">
        <v>1956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5"/>
      <c r="N11" s="38"/>
      <c r="P11" s="52">
        <v>1956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45"/>
      <c r="AC11" s="38"/>
    </row>
    <row r="12" spans="1:29" x14ac:dyDescent="0.25">
      <c r="A12" s="52">
        <v>1957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5"/>
      <c r="N12" s="38"/>
      <c r="P12" s="52">
        <v>1957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45"/>
      <c r="AC12" s="38"/>
    </row>
    <row r="13" spans="1:29" x14ac:dyDescent="0.25">
      <c r="A13" s="52">
        <v>1958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5"/>
      <c r="N13" s="38"/>
      <c r="P13" s="52">
        <v>1958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5"/>
      <c r="AC13" s="38"/>
    </row>
    <row r="14" spans="1:29" x14ac:dyDescent="0.25">
      <c r="A14" s="52">
        <v>1959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5"/>
      <c r="N14" s="38"/>
      <c r="P14" s="52">
        <v>1959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5"/>
      <c r="AC14" s="38"/>
    </row>
    <row r="15" spans="1:29" x14ac:dyDescent="0.25">
      <c r="A15" s="52">
        <v>1960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5"/>
      <c r="N15" s="38"/>
      <c r="P15" s="52">
        <v>1960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5"/>
      <c r="AC15" s="38"/>
    </row>
    <row r="16" spans="1:29" x14ac:dyDescent="0.25">
      <c r="A16" s="52">
        <v>1961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5"/>
      <c r="N16" s="38"/>
      <c r="P16" s="52">
        <v>1961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5"/>
      <c r="AC16" s="38"/>
    </row>
    <row r="17" spans="1:29" x14ac:dyDescent="0.25">
      <c r="A17" s="52">
        <v>1962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5"/>
      <c r="N17" s="38"/>
      <c r="P17" s="52">
        <v>1962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5"/>
      <c r="AC17" s="38"/>
    </row>
    <row r="18" spans="1:29" x14ac:dyDescent="0.25">
      <c r="A18" s="52">
        <v>1963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5"/>
      <c r="N18" s="38"/>
      <c r="P18" s="52">
        <v>1963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45"/>
      <c r="AC18" s="38"/>
    </row>
    <row r="19" spans="1:29" x14ac:dyDescent="0.25">
      <c r="A19" s="52">
        <v>1964</v>
      </c>
      <c r="B19" s="2">
        <v>-29.31</v>
      </c>
      <c r="C19" s="2">
        <v>-25.12</v>
      </c>
      <c r="D19" s="2">
        <v>79.55</v>
      </c>
      <c r="E19" s="2">
        <v>188.41</v>
      </c>
      <c r="F19" s="2">
        <v>360.06</v>
      </c>
      <c r="G19" s="2">
        <v>343.32</v>
      </c>
      <c r="H19" s="2">
        <v>314.01</v>
      </c>
      <c r="I19" s="2">
        <v>221.9</v>
      </c>
      <c r="J19" s="2">
        <v>129.79</v>
      </c>
      <c r="K19" s="2">
        <v>25.12</v>
      </c>
      <c r="L19" s="4">
        <v>0</v>
      </c>
      <c r="M19" s="16">
        <v>-25.12</v>
      </c>
      <c r="N19" s="86">
        <f>SUM(B19:M19)</f>
        <v>1582.6100000000001</v>
      </c>
      <c r="P19" s="52">
        <v>1964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40"/>
      <c r="AB19" s="45"/>
      <c r="AC19" s="38"/>
    </row>
    <row r="20" spans="1:29" x14ac:dyDescent="0.25">
      <c r="A20" s="52">
        <v>1965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46">
        <v>-20.93</v>
      </c>
      <c r="N20" s="157">
        <f t="shared" ref="N20:N77" si="0">SUM(B20:M20)</f>
        <v>-20.93</v>
      </c>
      <c r="P20" s="52">
        <v>1965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63"/>
      <c r="AC20" s="38"/>
    </row>
    <row r="21" spans="1:29" x14ac:dyDescent="0.25">
      <c r="A21" s="52">
        <v>1966</v>
      </c>
      <c r="B21" s="4">
        <v>-20.93</v>
      </c>
      <c r="C21" s="4">
        <v>0</v>
      </c>
      <c r="D21" s="4">
        <v>58.62</v>
      </c>
      <c r="E21" s="4">
        <v>142.35</v>
      </c>
      <c r="F21" s="4">
        <v>247.02</v>
      </c>
      <c r="G21" s="4">
        <v>351.69</v>
      </c>
      <c r="H21" s="4">
        <v>301.45</v>
      </c>
      <c r="I21" s="4">
        <v>230.27</v>
      </c>
      <c r="J21" s="4">
        <v>92.11</v>
      </c>
      <c r="K21" s="4">
        <v>29.31</v>
      </c>
      <c r="L21" s="4">
        <v>-16.75</v>
      </c>
      <c r="M21" s="46">
        <v>-16.75</v>
      </c>
      <c r="N21" s="86">
        <f t="shared" si="0"/>
        <v>1398.3899999999999</v>
      </c>
      <c r="P21" s="52">
        <v>1966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63"/>
      <c r="AC21" s="38"/>
    </row>
    <row r="22" spans="1:29" x14ac:dyDescent="0.25">
      <c r="A22" s="52">
        <v>1967</v>
      </c>
      <c r="B22" s="2">
        <v>-16.75</v>
      </c>
      <c r="C22" s="2">
        <v>4.1900000000000004</v>
      </c>
      <c r="D22" s="2">
        <v>83.74</v>
      </c>
      <c r="E22" s="2">
        <v>150.72</v>
      </c>
      <c r="F22" s="2">
        <v>288.89</v>
      </c>
      <c r="G22" s="4">
        <v>318.2</v>
      </c>
      <c r="H22" s="2">
        <v>360.06</v>
      </c>
      <c r="I22" s="4">
        <v>221.9</v>
      </c>
      <c r="J22" s="2">
        <v>113.04</v>
      </c>
      <c r="K22" s="2">
        <v>12.56</v>
      </c>
      <c r="L22" s="2">
        <v>-20.93</v>
      </c>
      <c r="M22" s="16">
        <v>-16.75</v>
      </c>
      <c r="N22" s="86">
        <f t="shared" si="0"/>
        <v>1498.87</v>
      </c>
      <c r="P22" s="52">
        <v>1967</v>
      </c>
      <c r="Q22" s="38"/>
      <c r="R22" s="38"/>
      <c r="S22" s="38"/>
      <c r="T22" s="38"/>
      <c r="U22" s="38"/>
      <c r="V22" s="40"/>
      <c r="W22" s="38"/>
      <c r="X22" s="40"/>
      <c r="Y22" s="38"/>
      <c r="Z22" s="38"/>
      <c r="AA22" s="38"/>
      <c r="AB22" s="45"/>
      <c r="AC22" s="38"/>
    </row>
    <row r="23" spans="1:29" x14ac:dyDescent="0.25">
      <c r="A23" s="52">
        <v>1968</v>
      </c>
      <c r="B23" s="2">
        <v>-20.93</v>
      </c>
      <c r="C23" s="2">
        <v>-12.56</v>
      </c>
      <c r="D23" s="2">
        <v>29.31</v>
      </c>
      <c r="E23" s="2">
        <v>226.09</v>
      </c>
      <c r="F23" s="2">
        <v>247.02</v>
      </c>
      <c r="G23" s="2">
        <v>360.06</v>
      </c>
      <c r="H23" s="2">
        <v>368.44</v>
      </c>
      <c r="I23" s="2">
        <v>272.14</v>
      </c>
      <c r="J23" s="2">
        <v>129.79</v>
      </c>
      <c r="K23" s="2">
        <v>16.75</v>
      </c>
      <c r="L23" s="2">
        <v>-12.56</v>
      </c>
      <c r="M23" s="16">
        <v>-37.68</v>
      </c>
      <c r="N23" s="86">
        <f t="shared" si="0"/>
        <v>1565.8700000000001</v>
      </c>
      <c r="P23" s="52">
        <v>1968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45"/>
      <c r="AC23" s="38"/>
    </row>
    <row r="24" spans="1:29" x14ac:dyDescent="0.25">
      <c r="A24" s="52">
        <v>1969</v>
      </c>
      <c r="B24" s="4">
        <v>-37.68</v>
      </c>
      <c r="C24" s="4">
        <v>-8.3699999999999992</v>
      </c>
      <c r="D24" s="4">
        <v>96.3</v>
      </c>
      <c r="E24" s="4">
        <v>159.1</v>
      </c>
      <c r="F24" s="4">
        <v>293.08</v>
      </c>
      <c r="G24" s="4">
        <v>372.63</v>
      </c>
      <c r="H24" s="4">
        <v>343.32</v>
      </c>
      <c r="I24" s="4">
        <v>221.9</v>
      </c>
      <c r="J24" s="4">
        <v>117.23</v>
      </c>
      <c r="K24" s="4">
        <v>20.93</v>
      </c>
      <c r="L24" s="4">
        <v>-12.56</v>
      </c>
      <c r="M24" s="46">
        <v>-29.31</v>
      </c>
      <c r="N24" s="86">
        <f t="shared" si="0"/>
        <v>1536.5700000000002</v>
      </c>
      <c r="P24" s="52">
        <v>1969</v>
      </c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63"/>
      <c r="AC24" s="38"/>
    </row>
    <row r="25" spans="1:29" x14ac:dyDescent="0.25">
      <c r="A25" s="52">
        <v>1970</v>
      </c>
      <c r="B25" s="2">
        <v>-33.49</v>
      </c>
      <c r="C25" s="2">
        <v>-16.75</v>
      </c>
      <c r="D25" s="2">
        <v>33.49</v>
      </c>
      <c r="E25" s="2">
        <v>159.1</v>
      </c>
      <c r="F25" s="2">
        <v>297.26</v>
      </c>
      <c r="G25" s="2">
        <v>376.81</v>
      </c>
      <c r="H25" s="2">
        <v>267.95999999999998</v>
      </c>
      <c r="I25" s="2">
        <v>251.21</v>
      </c>
      <c r="J25" s="2">
        <v>108.86</v>
      </c>
      <c r="K25" s="2">
        <v>20.93</v>
      </c>
      <c r="L25" s="2">
        <v>-25.12</v>
      </c>
      <c r="M25" s="16">
        <v>-29.31</v>
      </c>
      <c r="N25" s="86">
        <f t="shared" si="0"/>
        <v>1410.9500000000003</v>
      </c>
      <c r="P25" s="52">
        <v>1970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45"/>
      <c r="AC25" s="38"/>
    </row>
    <row r="26" spans="1:29" x14ac:dyDescent="0.25">
      <c r="A26" s="52">
        <v>1971</v>
      </c>
      <c r="B26" s="4">
        <v>-62.8</v>
      </c>
      <c r="C26" s="117" t="s">
        <v>13</v>
      </c>
      <c r="D26" s="117" t="s">
        <v>13</v>
      </c>
      <c r="E26" s="2">
        <v>175.85</v>
      </c>
      <c r="F26" s="2">
        <v>334.94</v>
      </c>
      <c r="G26" s="2">
        <v>267.95999999999998</v>
      </c>
      <c r="H26" s="2">
        <v>334.94</v>
      </c>
      <c r="I26" s="2">
        <v>175.85</v>
      </c>
      <c r="J26" s="2">
        <v>54.43</v>
      </c>
      <c r="K26" s="117" t="s">
        <v>13</v>
      </c>
      <c r="L26" s="2">
        <v>-25.12</v>
      </c>
      <c r="M26" s="158" t="s">
        <v>13</v>
      </c>
      <c r="N26" s="157">
        <f t="shared" si="0"/>
        <v>1256.0500000000002</v>
      </c>
      <c r="P26" s="52">
        <v>1971</v>
      </c>
      <c r="Q26" s="40"/>
      <c r="R26" s="39"/>
      <c r="S26" s="39"/>
      <c r="T26" s="38"/>
      <c r="U26" s="38"/>
      <c r="V26" s="38"/>
      <c r="W26" s="38"/>
      <c r="X26" s="38"/>
      <c r="Y26" s="38"/>
      <c r="Z26" s="39"/>
      <c r="AA26" s="38"/>
      <c r="AB26" s="71"/>
      <c r="AC26" s="38"/>
    </row>
    <row r="27" spans="1:29" x14ac:dyDescent="0.25">
      <c r="A27" s="52">
        <v>1972</v>
      </c>
      <c r="B27" s="2">
        <v>-41.87</v>
      </c>
      <c r="C27" s="2">
        <v>4.1900000000000004</v>
      </c>
      <c r="D27" s="2">
        <v>75.36</v>
      </c>
      <c r="E27" s="2">
        <v>159.1</v>
      </c>
      <c r="F27" s="2">
        <v>213.53</v>
      </c>
      <c r="G27" s="2">
        <v>280.52</v>
      </c>
      <c r="H27" s="2">
        <v>322.38</v>
      </c>
      <c r="I27" s="2">
        <v>180.03</v>
      </c>
      <c r="J27" s="2">
        <v>117.23</v>
      </c>
      <c r="K27" s="2">
        <v>25.12</v>
      </c>
      <c r="L27" s="2">
        <v>-8.3699999999999992</v>
      </c>
      <c r="M27" s="16">
        <v>-41.87</v>
      </c>
      <c r="N27" s="86">
        <f t="shared" si="0"/>
        <v>1285.3500000000001</v>
      </c>
      <c r="P27" s="52">
        <v>1972</v>
      </c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45"/>
      <c r="AC27" s="38"/>
    </row>
    <row r="28" spans="1:29" x14ac:dyDescent="0.25">
      <c r="A28" s="52">
        <v>1973</v>
      </c>
      <c r="B28" s="2">
        <v>-20.93</v>
      </c>
      <c r="C28" s="2">
        <v>4.1900000000000004</v>
      </c>
      <c r="D28" s="2">
        <v>66.989999999999995</v>
      </c>
      <c r="E28" s="2">
        <v>133.97999999999999</v>
      </c>
      <c r="F28" s="2">
        <v>288.89</v>
      </c>
      <c r="G28" s="2">
        <v>314.01</v>
      </c>
      <c r="H28" s="2">
        <v>293.08</v>
      </c>
      <c r="I28" s="2">
        <v>234.46</v>
      </c>
      <c r="J28" s="2">
        <v>108.86</v>
      </c>
      <c r="K28" s="2">
        <v>37.68</v>
      </c>
      <c r="L28" s="2">
        <v>-25.12</v>
      </c>
      <c r="M28" s="16">
        <v>-33.49</v>
      </c>
      <c r="N28" s="86">
        <f t="shared" si="0"/>
        <v>1402.6000000000001</v>
      </c>
      <c r="P28" s="52">
        <v>1973</v>
      </c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45"/>
      <c r="AC28" s="38"/>
    </row>
    <row r="29" spans="1:29" x14ac:dyDescent="0.25">
      <c r="A29" s="52">
        <v>1974</v>
      </c>
      <c r="B29" s="2">
        <v>-33.49</v>
      </c>
      <c r="C29" s="2">
        <v>8.3699999999999992</v>
      </c>
      <c r="D29" s="2">
        <v>83.74</v>
      </c>
      <c r="E29" s="2">
        <v>188.41</v>
      </c>
      <c r="F29" s="2">
        <v>238.65</v>
      </c>
      <c r="G29" s="2">
        <v>276.33</v>
      </c>
      <c r="H29" s="2">
        <v>205.15</v>
      </c>
      <c r="I29" s="2">
        <v>230.27</v>
      </c>
      <c r="J29" s="2">
        <v>146.54</v>
      </c>
      <c r="K29" s="2">
        <v>9.3699999999999992</v>
      </c>
      <c r="L29" s="2">
        <v>-12.56</v>
      </c>
      <c r="M29" s="16">
        <v>-25.12</v>
      </c>
      <c r="N29" s="86">
        <f t="shared" si="0"/>
        <v>1315.66</v>
      </c>
      <c r="P29" s="52">
        <v>1974</v>
      </c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45"/>
      <c r="AC29" s="38"/>
    </row>
    <row r="30" spans="1:29" x14ac:dyDescent="0.25">
      <c r="A30" s="52">
        <v>1975</v>
      </c>
      <c r="B30" s="2">
        <v>-25.12</v>
      </c>
      <c r="C30" s="2">
        <v>8.3699999999999992</v>
      </c>
      <c r="D30" s="2">
        <v>75.36</v>
      </c>
      <c r="E30" s="2">
        <v>146.54</v>
      </c>
      <c r="F30" s="2">
        <v>284.7</v>
      </c>
      <c r="G30" s="2">
        <v>301.45</v>
      </c>
      <c r="H30" s="2">
        <v>326.57</v>
      </c>
      <c r="I30" s="2">
        <v>242.83</v>
      </c>
      <c r="J30" s="2">
        <v>146.54</v>
      </c>
      <c r="K30" s="2">
        <v>25.12</v>
      </c>
      <c r="L30" s="2">
        <v>-16.75</v>
      </c>
      <c r="M30" s="16">
        <v>-25.12</v>
      </c>
      <c r="N30" s="86">
        <f t="shared" si="0"/>
        <v>1490.4899999999998</v>
      </c>
      <c r="P30" s="52">
        <v>1975</v>
      </c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45"/>
      <c r="AC30" s="38"/>
    </row>
    <row r="31" spans="1:29" x14ac:dyDescent="0.25">
      <c r="A31" s="52">
        <v>1976</v>
      </c>
      <c r="B31" s="2">
        <v>-27.21</v>
      </c>
      <c r="C31" s="2">
        <v>-7.12</v>
      </c>
      <c r="D31" s="2">
        <v>43.96</v>
      </c>
      <c r="E31" s="2">
        <v>191.34</v>
      </c>
      <c r="F31" s="2">
        <v>282.19</v>
      </c>
      <c r="G31" s="2">
        <v>318.62</v>
      </c>
      <c r="H31" s="2">
        <v>319.45</v>
      </c>
      <c r="I31" s="2">
        <v>240.32</v>
      </c>
      <c r="J31" s="4">
        <v>121</v>
      </c>
      <c r="K31" s="2">
        <v>19.68</v>
      </c>
      <c r="L31" s="2">
        <v>-9.2100000000000009</v>
      </c>
      <c r="M31" s="16">
        <v>-18.420000000000002</v>
      </c>
      <c r="N31" s="86">
        <f t="shared" si="0"/>
        <v>1474.6</v>
      </c>
      <c r="P31" s="52">
        <v>1976</v>
      </c>
      <c r="Q31" s="38"/>
      <c r="R31" s="38"/>
      <c r="S31" s="38"/>
      <c r="T31" s="38"/>
      <c r="U31" s="38"/>
      <c r="V31" s="38"/>
      <c r="W31" s="38"/>
      <c r="X31" s="38"/>
      <c r="Y31" s="40"/>
      <c r="Z31" s="38"/>
      <c r="AA31" s="38"/>
      <c r="AB31" s="45"/>
      <c r="AC31" s="38"/>
    </row>
    <row r="32" spans="1:29" x14ac:dyDescent="0.25">
      <c r="A32" s="52">
        <v>1977</v>
      </c>
      <c r="B32" s="2">
        <v>-16.329999999999998</v>
      </c>
      <c r="C32" s="2">
        <v>-2.5099999999999998</v>
      </c>
      <c r="D32" s="2">
        <v>61.96</v>
      </c>
      <c r="E32" s="2">
        <v>131.05000000000001</v>
      </c>
      <c r="F32" s="2">
        <v>286.8</v>
      </c>
      <c r="G32" s="2">
        <v>313.17</v>
      </c>
      <c r="H32" s="2">
        <v>264.61</v>
      </c>
      <c r="I32" s="2">
        <v>226.09</v>
      </c>
      <c r="J32" s="2">
        <v>92.11</v>
      </c>
      <c r="K32" s="2">
        <v>18.84</v>
      </c>
      <c r="L32" s="2">
        <v>-10.47</v>
      </c>
      <c r="M32" s="16">
        <v>-28.47</v>
      </c>
      <c r="N32" s="86">
        <f t="shared" si="0"/>
        <v>1336.8499999999997</v>
      </c>
      <c r="P32" s="52">
        <v>1977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45"/>
      <c r="AC32" s="38"/>
    </row>
    <row r="33" spans="1:29" x14ac:dyDescent="0.25">
      <c r="A33" s="52">
        <v>1978</v>
      </c>
      <c r="B33" s="4">
        <v>-29.31</v>
      </c>
      <c r="C33" s="4">
        <v>-5.0199999999999996</v>
      </c>
      <c r="D33" s="4">
        <v>59.45</v>
      </c>
      <c r="E33" s="4">
        <v>169.15</v>
      </c>
      <c r="F33" s="4">
        <v>321.95999999999998</v>
      </c>
      <c r="G33" s="4">
        <v>336.2</v>
      </c>
      <c r="H33" s="4">
        <v>260.42</v>
      </c>
      <c r="I33" s="4">
        <v>193.43</v>
      </c>
      <c r="J33" s="4">
        <v>87.09</v>
      </c>
      <c r="K33" s="4">
        <v>25.54</v>
      </c>
      <c r="L33" s="4">
        <v>-6.7</v>
      </c>
      <c r="M33" s="46">
        <v>-32.24</v>
      </c>
      <c r="N33" s="86">
        <f t="shared" si="0"/>
        <v>1379.97</v>
      </c>
      <c r="P33" s="52">
        <v>1978</v>
      </c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63"/>
      <c r="AC33" s="38"/>
    </row>
    <row r="34" spans="1:29" x14ac:dyDescent="0.25">
      <c r="A34" s="52">
        <v>1979</v>
      </c>
      <c r="B34" s="4">
        <v>-16.747</v>
      </c>
      <c r="C34" s="4">
        <v>-14.234999999999999</v>
      </c>
      <c r="D34" s="4">
        <v>29.308</v>
      </c>
      <c r="E34" s="4">
        <v>202.64</v>
      </c>
      <c r="F34" s="4">
        <v>315.27</v>
      </c>
      <c r="G34" s="4">
        <v>360.06</v>
      </c>
      <c r="H34" s="4">
        <v>225.25</v>
      </c>
      <c r="I34" s="4">
        <v>189.66</v>
      </c>
      <c r="J34" s="4">
        <v>122.67</v>
      </c>
      <c r="K34" s="4">
        <v>36.01</v>
      </c>
      <c r="L34" s="4">
        <v>-10.050000000000001</v>
      </c>
      <c r="M34" s="46">
        <v>-25.12</v>
      </c>
      <c r="N34" s="86">
        <f t="shared" si="0"/>
        <v>1414.7160000000003</v>
      </c>
      <c r="P34" s="52">
        <v>1979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63"/>
      <c r="AC34" s="38"/>
    </row>
    <row r="35" spans="1:29" x14ac:dyDescent="0.25">
      <c r="A35" s="52">
        <v>1980</v>
      </c>
      <c r="B35" s="2">
        <v>-17.21</v>
      </c>
      <c r="C35" s="2">
        <v>-1.71</v>
      </c>
      <c r="D35" s="2">
        <v>27.35</v>
      </c>
      <c r="E35" s="2">
        <v>170.67</v>
      </c>
      <c r="F35" s="2">
        <v>272.72000000000003</v>
      </c>
      <c r="G35" s="2">
        <v>306.92</v>
      </c>
      <c r="H35" s="2">
        <v>231.76</v>
      </c>
      <c r="I35" s="2">
        <v>191.58</v>
      </c>
      <c r="J35" s="2">
        <v>97.25</v>
      </c>
      <c r="K35" s="2">
        <v>18.59</v>
      </c>
      <c r="L35" s="2">
        <v>-12.52</v>
      </c>
      <c r="M35" s="16">
        <v>-16.940000000000001</v>
      </c>
      <c r="N35" s="86">
        <f t="shared" si="0"/>
        <v>1268.4599999999998</v>
      </c>
      <c r="P35" s="52">
        <v>1980</v>
      </c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45"/>
      <c r="AC35" s="38"/>
    </row>
    <row r="36" spans="1:29" x14ac:dyDescent="0.25">
      <c r="A36" s="52">
        <v>1981</v>
      </c>
      <c r="B36" s="24">
        <v>-21.37</v>
      </c>
      <c r="C36" s="24">
        <v>-9.57</v>
      </c>
      <c r="D36" s="24">
        <v>60.96</v>
      </c>
      <c r="E36" s="24">
        <v>162.38</v>
      </c>
      <c r="F36" s="24">
        <v>296.23</v>
      </c>
      <c r="G36" s="24">
        <v>261.49</v>
      </c>
      <c r="H36" s="24">
        <v>266.11</v>
      </c>
      <c r="I36" s="24">
        <v>207.6</v>
      </c>
      <c r="J36" s="24">
        <v>116.68</v>
      </c>
      <c r="K36" s="24">
        <v>24.35</v>
      </c>
      <c r="L36" s="24">
        <v>-6.73</v>
      </c>
      <c r="M36" s="57">
        <v>-16.760000000000002</v>
      </c>
      <c r="N36" s="86">
        <f t="shared" si="0"/>
        <v>1341.37</v>
      </c>
      <c r="P36" s="52">
        <v>1981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8"/>
      <c r="AC36" s="38"/>
    </row>
    <row r="37" spans="1:29" x14ac:dyDescent="0.25">
      <c r="A37" s="52">
        <v>1982</v>
      </c>
      <c r="B37" s="25">
        <v>-17.399999999999999</v>
      </c>
      <c r="C37" s="25">
        <v>7.51</v>
      </c>
      <c r="D37" s="25">
        <v>93.41</v>
      </c>
      <c r="E37" s="25">
        <v>164.24</v>
      </c>
      <c r="F37" s="25">
        <v>295.98</v>
      </c>
      <c r="G37" s="25">
        <v>290.51</v>
      </c>
      <c r="H37" s="25">
        <v>386.33</v>
      </c>
      <c r="I37" s="25">
        <v>273.27</v>
      </c>
      <c r="J37" s="25">
        <v>125.14</v>
      </c>
      <c r="K37" s="25">
        <v>38.19</v>
      </c>
      <c r="L37" s="25">
        <v>-21.3</v>
      </c>
      <c r="M37" s="58">
        <v>-12.96</v>
      </c>
      <c r="N37" s="86">
        <f t="shared" si="0"/>
        <v>1622.92</v>
      </c>
      <c r="P37" s="52">
        <v>1982</v>
      </c>
      <c r="Q37" s="74">
        <v>-23.1</v>
      </c>
      <c r="R37" s="74">
        <v>-9.7899999999999991</v>
      </c>
      <c r="S37" s="74">
        <v>43.03</v>
      </c>
      <c r="T37" s="74">
        <v>180.72</v>
      </c>
      <c r="U37" s="74">
        <v>320.56</v>
      </c>
      <c r="V37" s="74">
        <v>261.52</v>
      </c>
      <c r="W37" s="74">
        <v>352.49</v>
      </c>
      <c r="X37" s="74">
        <v>305.98</v>
      </c>
      <c r="Y37" s="74">
        <v>144.36000000000001</v>
      </c>
      <c r="Z37" s="74">
        <v>84.7</v>
      </c>
      <c r="AA37" s="74">
        <v>-20</v>
      </c>
      <c r="AB37" s="116" t="s">
        <v>13</v>
      </c>
      <c r="AC37" s="92">
        <f t="shared" ref="AC37:AC45" si="1">SUM(Q37:AB37)</f>
        <v>1640.47</v>
      </c>
    </row>
    <row r="38" spans="1:29" x14ac:dyDescent="0.25">
      <c r="A38" s="52">
        <v>1983</v>
      </c>
      <c r="B38" s="25">
        <v>-4.4800000000000004</v>
      </c>
      <c r="C38" s="25">
        <v>-2.7</v>
      </c>
      <c r="D38" s="25">
        <v>67.459999999999994</v>
      </c>
      <c r="E38" s="25">
        <v>160.5</v>
      </c>
      <c r="F38" s="25">
        <v>269.29000000000002</v>
      </c>
      <c r="G38" s="25">
        <v>361.71</v>
      </c>
      <c r="H38" s="25">
        <v>319.77999999999997</v>
      </c>
      <c r="I38" s="25">
        <v>277.2</v>
      </c>
      <c r="J38" s="25">
        <v>96.22</v>
      </c>
      <c r="K38" s="25">
        <v>25.31</v>
      </c>
      <c r="L38" s="25">
        <v>-19.93</v>
      </c>
      <c r="M38" s="58">
        <v>-11.08</v>
      </c>
      <c r="N38" s="86">
        <f t="shared" si="0"/>
        <v>1539.28</v>
      </c>
      <c r="P38" s="52">
        <v>1983</v>
      </c>
      <c r="Q38" s="111" t="s">
        <v>13</v>
      </c>
      <c r="R38" s="111" t="s">
        <v>13</v>
      </c>
      <c r="S38" s="111" t="s">
        <v>13</v>
      </c>
      <c r="T38" s="111" t="s">
        <v>13</v>
      </c>
      <c r="U38" s="111" t="s">
        <v>13</v>
      </c>
      <c r="V38" s="111" t="s">
        <v>13</v>
      </c>
      <c r="W38" s="74">
        <v>353.39</v>
      </c>
      <c r="X38" s="74">
        <v>316.26</v>
      </c>
      <c r="Y38" s="74">
        <v>105.82</v>
      </c>
      <c r="Z38" s="74">
        <v>28.5</v>
      </c>
      <c r="AA38" s="74">
        <v>-9.85</v>
      </c>
      <c r="AB38" s="75">
        <v>-33.76</v>
      </c>
      <c r="AC38" s="92">
        <f t="shared" si="1"/>
        <v>760.36</v>
      </c>
    </row>
    <row r="39" spans="1:29" x14ac:dyDescent="0.25">
      <c r="A39" s="52">
        <v>1984</v>
      </c>
      <c r="B39" s="117" t="s">
        <v>13</v>
      </c>
      <c r="C39" s="117" t="s">
        <v>13</v>
      </c>
      <c r="D39" s="117" t="s">
        <v>13</v>
      </c>
      <c r="E39" s="117" t="s">
        <v>13</v>
      </c>
      <c r="F39" s="117" t="s">
        <v>13</v>
      </c>
      <c r="G39" s="117" t="s">
        <v>13</v>
      </c>
      <c r="H39" s="117" t="s">
        <v>13</v>
      </c>
      <c r="I39" s="25">
        <v>233.52</v>
      </c>
      <c r="J39" s="117" t="s">
        <v>13</v>
      </c>
      <c r="K39" s="117" t="s">
        <v>13</v>
      </c>
      <c r="L39" s="117" t="s">
        <v>13</v>
      </c>
      <c r="M39" s="158" t="s">
        <v>13</v>
      </c>
      <c r="N39" s="157">
        <f t="shared" si="0"/>
        <v>233.52</v>
      </c>
      <c r="P39" s="52">
        <v>1984</v>
      </c>
      <c r="Q39" s="80">
        <v>-10.47</v>
      </c>
      <c r="R39" s="80">
        <v>-15.27</v>
      </c>
      <c r="S39" s="80">
        <v>91.85</v>
      </c>
      <c r="T39" s="80">
        <v>221.19</v>
      </c>
      <c r="U39" s="80">
        <v>290.31</v>
      </c>
      <c r="V39" s="28">
        <v>265.85000000000002</v>
      </c>
      <c r="W39" s="117">
        <v>342.87</v>
      </c>
      <c r="X39" s="25">
        <v>225.81</v>
      </c>
      <c r="Y39" s="117">
        <v>80.989999999999995</v>
      </c>
      <c r="Z39" s="28">
        <v>21.83</v>
      </c>
      <c r="AA39" s="81">
        <v>12</v>
      </c>
      <c r="AB39" s="82">
        <v>-3.19</v>
      </c>
      <c r="AC39" s="92">
        <f t="shared" si="1"/>
        <v>1523.7699999999998</v>
      </c>
    </row>
    <row r="40" spans="1:29" x14ac:dyDescent="0.25">
      <c r="A40" s="52">
        <v>1985</v>
      </c>
      <c r="B40" s="117" t="s">
        <v>13</v>
      </c>
      <c r="C40" s="117" t="s">
        <v>13</v>
      </c>
      <c r="D40" s="25">
        <v>31.48</v>
      </c>
      <c r="E40" s="117" t="s">
        <v>13</v>
      </c>
      <c r="F40" s="25">
        <v>323.66000000000003</v>
      </c>
      <c r="G40" s="25">
        <v>322.02</v>
      </c>
      <c r="H40" s="25">
        <v>294.35000000000002</v>
      </c>
      <c r="I40" s="25">
        <v>225.96</v>
      </c>
      <c r="J40" s="25">
        <v>115.69</v>
      </c>
      <c r="K40" s="25">
        <v>35.57</v>
      </c>
      <c r="L40" s="25">
        <v>7.89</v>
      </c>
      <c r="M40" s="58">
        <v>-39.58</v>
      </c>
      <c r="N40" s="157">
        <f t="shared" si="0"/>
        <v>1317.0400000000002</v>
      </c>
      <c r="P40" s="52">
        <v>1985</v>
      </c>
      <c r="Q40" s="80">
        <v>-4.62</v>
      </c>
      <c r="R40" s="80">
        <v>11.07</v>
      </c>
      <c r="S40" s="25">
        <v>55.03</v>
      </c>
      <c r="T40" s="28">
        <v>173.77</v>
      </c>
      <c r="U40" s="111">
        <v>397.62</v>
      </c>
      <c r="V40" s="111">
        <v>320.11</v>
      </c>
      <c r="W40" s="83">
        <v>286.69</v>
      </c>
      <c r="X40" s="25">
        <v>196.98</v>
      </c>
      <c r="Y40" s="111">
        <v>112.12</v>
      </c>
      <c r="Z40" s="25">
        <v>53.6</v>
      </c>
      <c r="AA40" s="25">
        <v>6.09</v>
      </c>
      <c r="AB40" s="58">
        <v>-3.25</v>
      </c>
      <c r="AC40" s="8">
        <f t="shared" si="1"/>
        <v>1605.2099999999998</v>
      </c>
    </row>
    <row r="41" spans="1:29" x14ac:dyDescent="0.25">
      <c r="A41" s="52">
        <v>1986</v>
      </c>
      <c r="B41" s="25">
        <v>-24.66</v>
      </c>
      <c r="C41" s="25">
        <v>-40.26</v>
      </c>
      <c r="D41" s="25">
        <v>88.01</v>
      </c>
      <c r="E41" s="25">
        <v>188.38</v>
      </c>
      <c r="F41" s="25">
        <v>321.36</v>
      </c>
      <c r="G41" s="25">
        <v>343.93</v>
      </c>
      <c r="H41" s="25">
        <v>281.45</v>
      </c>
      <c r="I41" s="25">
        <v>232.37</v>
      </c>
      <c r="J41" s="25">
        <v>122.58</v>
      </c>
      <c r="K41" s="25">
        <v>51.86</v>
      </c>
      <c r="L41" s="111">
        <v>2.68</v>
      </c>
      <c r="M41" s="58">
        <v>-15.3</v>
      </c>
      <c r="N41" s="157">
        <f t="shared" si="0"/>
        <v>1552.3999999999999</v>
      </c>
      <c r="P41" s="52">
        <v>1986</v>
      </c>
      <c r="Q41" s="74">
        <v>-2.56</v>
      </c>
      <c r="R41" s="74">
        <v>-7.58</v>
      </c>
      <c r="S41" s="25">
        <v>82.2</v>
      </c>
      <c r="T41" s="25">
        <v>159.68</v>
      </c>
      <c r="U41" s="25">
        <v>301.52</v>
      </c>
      <c r="V41" s="25">
        <v>375.4</v>
      </c>
      <c r="W41" s="25">
        <v>298.92</v>
      </c>
      <c r="X41" s="25">
        <v>272</v>
      </c>
      <c r="Y41" s="25">
        <v>121.6</v>
      </c>
      <c r="Z41" s="25">
        <v>35.06</v>
      </c>
      <c r="AA41" s="25">
        <v>2.2599999999999998</v>
      </c>
      <c r="AB41" s="58">
        <v>-9.1</v>
      </c>
      <c r="AC41" s="8">
        <f t="shared" si="1"/>
        <v>1629.3999999999999</v>
      </c>
    </row>
    <row r="42" spans="1:29" x14ac:dyDescent="0.25">
      <c r="A42" s="52">
        <v>1987</v>
      </c>
      <c r="B42" s="26">
        <v>-41.27</v>
      </c>
      <c r="C42" s="26">
        <v>-18.34</v>
      </c>
      <c r="D42" s="26">
        <v>24.95</v>
      </c>
      <c r="E42" s="117" t="s">
        <v>13</v>
      </c>
      <c r="F42" s="111">
        <v>250.7</v>
      </c>
      <c r="G42" s="111">
        <v>135.1</v>
      </c>
      <c r="H42" s="111">
        <v>110.37</v>
      </c>
      <c r="I42" s="117" t="s">
        <v>13</v>
      </c>
      <c r="J42" s="111">
        <v>32.33</v>
      </c>
      <c r="K42" s="111">
        <v>36.86</v>
      </c>
      <c r="L42" s="25">
        <v>10.29</v>
      </c>
      <c r="M42" s="158" t="s">
        <v>13</v>
      </c>
      <c r="N42" s="157">
        <f t="shared" si="0"/>
        <v>540.9899999999999</v>
      </c>
      <c r="P42" s="52">
        <v>1987</v>
      </c>
      <c r="Q42" s="25">
        <v>-27.66</v>
      </c>
      <c r="R42" s="25">
        <v>3.24</v>
      </c>
      <c r="S42" s="111">
        <v>52.28</v>
      </c>
      <c r="T42" s="28">
        <v>162.55000000000001</v>
      </c>
      <c r="U42" s="25">
        <v>225.23</v>
      </c>
      <c r="V42" s="111">
        <v>248.36</v>
      </c>
      <c r="W42" s="25">
        <v>345</v>
      </c>
      <c r="X42" s="28">
        <v>214.52</v>
      </c>
      <c r="Y42" s="25">
        <v>133.58000000000001</v>
      </c>
      <c r="Z42" s="25">
        <v>47.25</v>
      </c>
      <c r="AA42" s="25">
        <v>5.12</v>
      </c>
      <c r="AB42" s="82">
        <v>-15.55</v>
      </c>
      <c r="AC42" s="92">
        <f t="shared" si="1"/>
        <v>1393.9199999999998</v>
      </c>
    </row>
    <row r="43" spans="1:29" x14ac:dyDescent="0.25">
      <c r="A43" s="52">
        <v>1988</v>
      </c>
      <c r="B43" s="2">
        <v>-13.01</v>
      </c>
      <c r="C43" s="119" t="s">
        <v>13</v>
      </c>
      <c r="D43" s="2">
        <v>25.71</v>
      </c>
      <c r="E43" s="117" t="s">
        <v>13</v>
      </c>
      <c r="F43" s="117" t="s">
        <v>13</v>
      </c>
      <c r="G43" s="2">
        <v>314.76</v>
      </c>
      <c r="H43" s="2">
        <v>248.33</v>
      </c>
      <c r="I43" s="2">
        <v>217.72</v>
      </c>
      <c r="J43" s="95">
        <v>119.09</v>
      </c>
      <c r="K43" s="95">
        <v>74.790000000000006</v>
      </c>
      <c r="L43" s="95">
        <v>4.8099999999999996</v>
      </c>
      <c r="M43" s="114">
        <v>-3.85</v>
      </c>
      <c r="N43" s="157">
        <f t="shared" si="0"/>
        <v>988.34999999999991</v>
      </c>
      <c r="P43" s="52">
        <v>1988</v>
      </c>
      <c r="Q43" s="2">
        <v>-4.84</v>
      </c>
      <c r="R43" s="27">
        <v>9.82</v>
      </c>
      <c r="S43" s="95">
        <v>32.89</v>
      </c>
      <c r="T43" s="118">
        <v>224.6</v>
      </c>
      <c r="U43" s="117">
        <v>390.39</v>
      </c>
      <c r="V43" s="95">
        <v>305.41000000000003</v>
      </c>
      <c r="W43" s="95">
        <v>272.23</v>
      </c>
      <c r="X43" s="95">
        <v>174.49</v>
      </c>
      <c r="Y43" s="95">
        <v>112.76</v>
      </c>
      <c r="Z43" s="95">
        <v>30.85</v>
      </c>
      <c r="AA43" s="90">
        <v>-11</v>
      </c>
      <c r="AB43" s="113">
        <v>-27</v>
      </c>
      <c r="AC43" s="92">
        <f t="shared" si="1"/>
        <v>1510.6</v>
      </c>
    </row>
    <row r="44" spans="1:29" x14ac:dyDescent="0.25">
      <c r="A44" s="52">
        <v>1989</v>
      </c>
      <c r="B44" s="2">
        <v>-9.5399999999999991</v>
      </c>
      <c r="C44" s="2">
        <v>8.2200000000000006</v>
      </c>
      <c r="D44" s="2">
        <v>69.2</v>
      </c>
      <c r="E44" s="2">
        <v>135.72</v>
      </c>
      <c r="F44" s="2">
        <v>293.7</v>
      </c>
      <c r="G44" s="2">
        <v>244.34</v>
      </c>
      <c r="H44" s="2">
        <v>291.57</v>
      </c>
      <c r="I44" s="2">
        <v>197.37</v>
      </c>
      <c r="J44" s="2">
        <v>132.86000000000001</v>
      </c>
      <c r="K44" s="2">
        <v>43.54</v>
      </c>
      <c r="L44" s="2">
        <v>16.190000000000001</v>
      </c>
      <c r="M44" s="16">
        <v>-13.07</v>
      </c>
      <c r="N44" s="86">
        <f t="shared" si="0"/>
        <v>1410.1000000000001</v>
      </c>
      <c r="P44" s="52">
        <v>1989</v>
      </c>
      <c r="Q44" s="90">
        <v>-5.5</v>
      </c>
      <c r="R44" s="95">
        <v>22.59</v>
      </c>
      <c r="S44" s="95">
        <v>58.98</v>
      </c>
      <c r="T44" s="95">
        <v>159.47</v>
      </c>
      <c r="U44" s="95">
        <v>351.38</v>
      </c>
      <c r="V44" s="95">
        <v>288.63</v>
      </c>
      <c r="W44" s="95">
        <v>410.07</v>
      </c>
      <c r="X44" s="95">
        <v>250.49</v>
      </c>
      <c r="Y44" s="95">
        <v>177.1</v>
      </c>
      <c r="Z44" s="90">
        <v>26.3</v>
      </c>
      <c r="AA44" s="95">
        <v>2.63</v>
      </c>
      <c r="AB44" s="114">
        <v>-13.54</v>
      </c>
      <c r="AC44" s="92">
        <f t="shared" si="1"/>
        <v>1728.6</v>
      </c>
    </row>
    <row r="45" spans="1:29" x14ac:dyDescent="0.25">
      <c r="A45" s="52">
        <v>1990</v>
      </c>
      <c r="B45" s="2">
        <v>-12.45</v>
      </c>
      <c r="C45" s="4">
        <v>29.9</v>
      </c>
      <c r="D45" s="119" t="s">
        <v>13</v>
      </c>
      <c r="E45" s="95">
        <v>202.64</v>
      </c>
      <c r="F45" s="95">
        <v>257.55</v>
      </c>
      <c r="G45" s="95">
        <v>225.67</v>
      </c>
      <c r="H45" s="95">
        <v>185.17</v>
      </c>
      <c r="I45" s="95">
        <v>103.91</v>
      </c>
      <c r="J45" s="2">
        <v>-20.57</v>
      </c>
      <c r="K45" s="95">
        <v>11.48</v>
      </c>
      <c r="L45" s="95">
        <v>-55.53</v>
      </c>
      <c r="M45" s="114">
        <v>-3575</v>
      </c>
      <c r="N45" s="157">
        <f t="shared" si="0"/>
        <v>-2647.23</v>
      </c>
      <c r="P45" s="52">
        <v>1990</v>
      </c>
      <c r="Q45" s="95">
        <v>-0.91</v>
      </c>
      <c r="R45" s="90">
        <v>22.17</v>
      </c>
      <c r="S45" s="119">
        <v>88.64</v>
      </c>
      <c r="T45" s="2">
        <v>245.93</v>
      </c>
      <c r="U45" s="95">
        <v>373.13</v>
      </c>
      <c r="V45" s="95">
        <v>348.21</v>
      </c>
      <c r="W45" s="95">
        <v>183.89</v>
      </c>
      <c r="X45" s="95">
        <v>226.71</v>
      </c>
      <c r="Y45" s="95">
        <v>68.459999999999994</v>
      </c>
      <c r="Z45" s="90">
        <v>59.3</v>
      </c>
      <c r="AA45" s="95">
        <v>5.03</v>
      </c>
      <c r="AB45" s="114">
        <v>-4.9800000000000004</v>
      </c>
      <c r="AC45" s="92">
        <f t="shared" si="1"/>
        <v>1615.58</v>
      </c>
    </row>
    <row r="46" spans="1:29" x14ac:dyDescent="0.25">
      <c r="A46" s="52">
        <v>1991</v>
      </c>
      <c r="B46" s="11">
        <v>-42.239999999999995</v>
      </c>
      <c r="C46" s="11">
        <v>-116.53000000000003</v>
      </c>
      <c r="D46" s="11">
        <v>72.599999999999994</v>
      </c>
      <c r="E46" s="11">
        <v>218.14999999999998</v>
      </c>
      <c r="F46" s="122">
        <v>6.0700000000000145</v>
      </c>
      <c r="G46" s="11">
        <v>440</v>
      </c>
      <c r="H46" s="11">
        <v>312.05999999999995</v>
      </c>
      <c r="I46" s="11">
        <v>216.92999999999998</v>
      </c>
      <c r="J46" s="11">
        <v>3.2700000000000005</v>
      </c>
      <c r="K46" s="11">
        <v>-25.28</v>
      </c>
      <c r="L46" s="11">
        <v>-59.210000000000015</v>
      </c>
      <c r="M46" s="11">
        <v>-80.059999999999988</v>
      </c>
      <c r="N46" s="157">
        <f t="shared" si="0"/>
        <v>945.76</v>
      </c>
      <c r="P46" s="52">
        <v>1991</v>
      </c>
      <c r="Q46" s="72">
        <v>-0.92000000000000037</v>
      </c>
      <c r="R46" s="72">
        <v>4.1999999999999993</v>
      </c>
      <c r="S46" s="72">
        <v>77.44</v>
      </c>
      <c r="T46" s="72">
        <v>177.79000000000002</v>
      </c>
      <c r="U46" s="72">
        <v>320.51</v>
      </c>
      <c r="V46" s="120">
        <v>301.46999999999997</v>
      </c>
      <c r="W46" s="72">
        <v>383.40999999999991</v>
      </c>
      <c r="X46" s="72">
        <v>265.65999999999997</v>
      </c>
      <c r="Y46" s="72">
        <v>125.86000000000003</v>
      </c>
      <c r="Z46" s="72">
        <v>36.909999999999989</v>
      </c>
      <c r="AA46" s="72">
        <v>-0.61999999999999988</v>
      </c>
      <c r="AB46" s="72">
        <v>-16.920000000000005</v>
      </c>
      <c r="AC46" s="92">
        <f>SUM(Q46:AB46)</f>
        <v>1674.7900000000002</v>
      </c>
    </row>
    <row r="47" spans="1:29" x14ac:dyDescent="0.25">
      <c r="A47" s="52">
        <v>1992</v>
      </c>
      <c r="B47" s="121">
        <v>-77.55</v>
      </c>
      <c r="C47" s="64">
        <v>-43.179999999999993</v>
      </c>
      <c r="D47" s="64">
        <v>-6.5599999999999934</v>
      </c>
      <c r="E47" s="64">
        <v>87.88</v>
      </c>
      <c r="F47" s="64">
        <v>340.88</v>
      </c>
      <c r="G47" s="121" t="s">
        <v>13</v>
      </c>
      <c r="H47" s="121" t="s">
        <v>13</v>
      </c>
      <c r="I47" s="121" t="s">
        <v>13</v>
      </c>
      <c r="J47" s="121" t="s">
        <v>13</v>
      </c>
      <c r="K47" s="121" t="s">
        <v>13</v>
      </c>
      <c r="L47" s="121" t="s">
        <v>13</v>
      </c>
      <c r="M47" s="121" t="s">
        <v>13</v>
      </c>
      <c r="N47" s="157">
        <f t="shared" si="0"/>
        <v>301.47000000000003</v>
      </c>
      <c r="P47" s="52">
        <v>1992</v>
      </c>
      <c r="Q47" s="64">
        <v>-21.23</v>
      </c>
      <c r="R47" s="64">
        <v>17.879999999999995</v>
      </c>
      <c r="S47" s="64">
        <v>62.899999999999991</v>
      </c>
      <c r="T47" s="64">
        <v>102.39000000000003</v>
      </c>
      <c r="U47" s="64">
        <v>280.12</v>
      </c>
      <c r="V47" s="121">
        <v>296.02999999999997</v>
      </c>
      <c r="W47" s="64">
        <v>321.36</v>
      </c>
      <c r="X47" s="64">
        <v>132.84</v>
      </c>
      <c r="Y47" s="64">
        <v>110.2</v>
      </c>
      <c r="Z47" s="64">
        <v>45.790000000000013</v>
      </c>
      <c r="AA47" s="64">
        <v>-0.86999999999999966</v>
      </c>
      <c r="AB47" s="64">
        <v>-10.79</v>
      </c>
      <c r="AC47" s="92">
        <f t="shared" ref="AC47:AC77" si="2">SUM(Q47:AB47)</f>
        <v>1336.62</v>
      </c>
    </row>
    <row r="48" spans="1:29" x14ac:dyDescent="0.25">
      <c r="A48" s="52">
        <v>1993</v>
      </c>
      <c r="B48" s="122" t="s">
        <v>13</v>
      </c>
      <c r="C48" s="122" t="s">
        <v>13</v>
      </c>
      <c r="D48" s="122" t="s">
        <v>13</v>
      </c>
      <c r="E48" s="122" t="s">
        <v>13</v>
      </c>
      <c r="F48" s="122" t="s">
        <v>13</v>
      </c>
      <c r="G48" s="122" t="s">
        <v>13</v>
      </c>
      <c r="H48" s="122" t="s">
        <v>13</v>
      </c>
      <c r="I48" s="122" t="s">
        <v>13</v>
      </c>
      <c r="J48" s="122" t="s">
        <v>13</v>
      </c>
      <c r="K48" s="122" t="s">
        <v>13</v>
      </c>
      <c r="L48" s="122" t="s">
        <v>13</v>
      </c>
      <c r="M48" s="122" t="s">
        <v>13</v>
      </c>
      <c r="N48" s="159" t="s">
        <v>13</v>
      </c>
      <c r="P48" s="52">
        <v>1993</v>
      </c>
      <c r="Q48" s="11">
        <v>-21.45</v>
      </c>
      <c r="R48" s="11">
        <v>12.469999999999999</v>
      </c>
      <c r="S48" s="11">
        <v>32.660000000000004</v>
      </c>
      <c r="T48" s="11">
        <v>193.19</v>
      </c>
      <c r="U48" s="11">
        <v>342.89000000000004</v>
      </c>
      <c r="V48" s="122">
        <v>301.10000000000002</v>
      </c>
      <c r="W48" s="11">
        <v>232.94000000000005</v>
      </c>
      <c r="X48" s="11">
        <v>190.38000000000002</v>
      </c>
      <c r="Y48" s="11">
        <v>114.55000000000003</v>
      </c>
      <c r="Z48" s="11">
        <v>65.449999999999989</v>
      </c>
      <c r="AA48" s="11">
        <v>-11.590000000000002</v>
      </c>
      <c r="AB48" s="11">
        <v>-11.85</v>
      </c>
      <c r="AC48" s="92">
        <f t="shared" si="2"/>
        <v>1440.7400000000005</v>
      </c>
    </row>
    <row r="49" spans="1:29" x14ac:dyDescent="0.25">
      <c r="A49" s="52">
        <v>1994</v>
      </c>
      <c r="B49" s="122" t="s">
        <v>13</v>
      </c>
      <c r="C49" s="122" t="s">
        <v>13</v>
      </c>
      <c r="D49" s="122" t="s">
        <v>13</v>
      </c>
      <c r="E49" s="122" t="s">
        <v>13</v>
      </c>
      <c r="F49" s="122" t="s">
        <v>13</v>
      </c>
      <c r="G49" s="122" t="s">
        <v>13</v>
      </c>
      <c r="H49" s="122" t="s">
        <v>13</v>
      </c>
      <c r="I49" s="122" t="s">
        <v>13</v>
      </c>
      <c r="J49" s="122" t="s">
        <v>13</v>
      </c>
      <c r="K49" s="122" t="s">
        <v>13</v>
      </c>
      <c r="L49" s="122" t="s">
        <v>13</v>
      </c>
      <c r="M49" s="122" t="s">
        <v>13</v>
      </c>
      <c r="N49" s="159" t="s">
        <v>13</v>
      </c>
      <c r="P49" s="52">
        <v>1994</v>
      </c>
      <c r="Q49" s="11">
        <v>-18.439999999999998</v>
      </c>
      <c r="R49" s="122">
        <v>-44.87</v>
      </c>
      <c r="S49" s="11">
        <v>-25.880000000000003</v>
      </c>
      <c r="T49" s="122" t="s">
        <v>13</v>
      </c>
      <c r="U49" s="122" t="s">
        <v>13</v>
      </c>
      <c r="V49" s="122" t="s">
        <v>13</v>
      </c>
      <c r="W49" s="122" t="s">
        <v>13</v>
      </c>
      <c r="X49" s="122" t="s">
        <v>13</v>
      </c>
      <c r="Y49" s="122" t="s">
        <v>13</v>
      </c>
      <c r="Z49" s="11">
        <v>37.939999999999991</v>
      </c>
      <c r="AA49" s="11">
        <v>-56.55</v>
      </c>
      <c r="AB49" s="11">
        <v>-11.1</v>
      </c>
      <c r="AC49" s="92">
        <f t="shared" si="2"/>
        <v>-118.9</v>
      </c>
    </row>
    <row r="50" spans="1:29" x14ac:dyDescent="0.25">
      <c r="A50" s="52">
        <v>1995</v>
      </c>
      <c r="B50" s="122" t="s">
        <v>13</v>
      </c>
      <c r="C50" s="122" t="s">
        <v>13</v>
      </c>
      <c r="D50" s="122" t="s">
        <v>13</v>
      </c>
      <c r="E50" s="122" t="s">
        <v>13</v>
      </c>
      <c r="F50" s="122" t="s">
        <v>13</v>
      </c>
      <c r="G50" s="122">
        <v>254.36999999999998</v>
      </c>
      <c r="H50" s="122">
        <v>212.88000000000002</v>
      </c>
      <c r="I50" s="122" t="s">
        <v>13</v>
      </c>
      <c r="J50" s="122">
        <v>85.61999999999999</v>
      </c>
      <c r="K50" s="11">
        <v>43.580000000000005</v>
      </c>
      <c r="L50" s="11">
        <v>17.04999999999999</v>
      </c>
      <c r="M50" s="122" t="s">
        <v>13</v>
      </c>
      <c r="N50" s="157">
        <f t="shared" si="0"/>
        <v>613.5</v>
      </c>
      <c r="P50" s="52">
        <v>1995</v>
      </c>
      <c r="Q50" s="11">
        <v>-17.239999999999998</v>
      </c>
      <c r="R50" s="11">
        <v>18.690000000000001</v>
      </c>
      <c r="S50" s="11">
        <v>60.739999999999995</v>
      </c>
      <c r="T50" s="11">
        <v>159.07999999999998</v>
      </c>
      <c r="U50" s="11">
        <v>220.71999999999997</v>
      </c>
      <c r="V50" s="11">
        <v>229.7</v>
      </c>
      <c r="W50" s="11">
        <v>313.87</v>
      </c>
      <c r="X50" s="11">
        <v>147.88999999999999</v>
      </c>
      <c r="Y50" s="11">
        <v>94.97</v>
      </c>
      <c r="Z50" s="11">
        <v>31.519999999999996</v>
      </c>
      <c r="AA50" s="11">
        <v>-25.879999999999995</v>
      </c>
      <c r="AB50" s="122">
        <v>-43.28</v>
      </c>
      <c r="AC50" s="92">
        <f t="shared" si="2"/>
        <v>1190.78</v>
      </c>
    </row>
    <row r="51" spans="1:29" x14ac:dyDescent="0.25">
      <c r="A51" s="52">
        <v>1996</v>
      </c>
      <c r="B51" s="124" t="s">
        <v>13</v>
      </c>
      <c r="C51" s="12">
        <v>-23.59</v>
      </c>
      <c r="D51" s="12">
        <v>9.73</v>
      </c>
      <c r="E51" s="12">
        <v>210.76999999999998</v>
      </c>
      <c r="F51" s="124">
        <v>229.09999999999997</v>
      </c>
      <c r="G51" s="12">
        <v>305.92000000000007</v>
      </c>
      <c r="H51" s="12">
        <v>297.76999999999992</v>
      </c>
      <c r="I51" s="12">
        <v>272.98</v>
      </c>
      <c r="J51" s="12">
        <v>136.19</v>
      </c>
      <c r="K51" s="124" t="s">
        <v>13</v>
      </c>
      <c r="L51" s="12">
        <v>-8.9899999999999984</v>
      </c>
      <c r="M51" s="124">
        <v>-13.040000000000001</v>
      </c>
      <c r="N51" s="157">
        <f t="shared" si="0"/>
        <v>1416.8400000000001</v>
      </c>
      <c r="P51" s="52">
        <v>1996</v>
      </c>
      <c r="Q51" s="11">
        <v>-29.429999999999996</v>
      </c>
      <c r="R51" s="11">
        <v>-53.60000000000003</v>
      </c>
      <c r="S51" s="122">
        <v>-31.490000000000002</v>
      </c>
      <c r="T51" s="122">
        <v>136.38999999999999</v>
      </c>
      <c r="U51" s="11">
        <v>181.4</v>
      </c>
      <c r="V51" s="122" t="s">
        <v>13</v>
      </c>
      <c r="W51" s="11">
        <v>262.61</v>
      </c>
      <c r="X51" s="122">
        <v>244.20000000000002</v>
      </c>
      <c r="Y51" s="122">
        <v>62.460000000000008</v>
      </c>
      <c r="Z51" s="11">
        <v>22.059999999999995</v>
      </c>
      <c r="AA51" s="11">
        <v>-5.78</v>
      </c>
      <c r="AB51" s="11">
        <v>-26.39</v>
      </c>
      <c r="AC51" s="92">
        <f t="shared" si="2"/>
        <v>762.43000000000006</v>
      </c>
    </row>
    <row r="52" spans="1:29" x14ac:dyDescent="0.25">
      <c r="A52" s="52">
        <v>1997</v>
      </c>
      <c r="B52" s="11">
        <v>-42.500000000000007</v>
      </c>
      <c r="C52" s="11">
        <v>11.57</v>
      </c>
      <c r="D52" s="11">
        <v>91.699999999999974</v>
      </c>
      <c r="E52" s="11">
        <v>125.79999999999998</v>
      </c>
      <c r="F52" s="11">
        <v>254.30999999999997</v>
      </c>
      <c r="G52" s="122">
        <v>147.45999999999998</v>
      </c>
      <c r="H52" s="122">
        <v>104.85</v>
      </c>
      <c r="I52" s="11">
        <v>250.95</v>
      </c>
      <c r="J52" s="11">
        <v>110.46</v>
      </c>
      <c r="K52" s="122">
        <v>13.05</v>
      </c>
      <c r="L52" s="122">
        <v>3.4699999999999998</v>
      </c>
      <c r="M52" s="122">
        <v>10.57</v>
      </c>
      <c r="N52" s="157">
        <f t="shared" si="0"/>
        <v>1081.6899999999998</v>
      </c>
      <c r="P52" s="52">
        <v>1997</v>
      </c>
      <c r="Q52" s="64">
        <v>-11.039999999999997</v>
      </c>
      <c r="R52" s="64">
        <v>4.3099999999999978</v>
      </c>
      <c r="S52" s="64">
        <v>89.61</v>
      </c>
      <c r="T52" s="64">
        <v>187.39</v>
      </c>
      <c r="U52" s="64">
        <v>307.38000000000005</v>
      </c>
      <c r="V52" s="64">
        <v>315.00999999999993</v>
      </c>
      <c r="W52" s="64">
        <v>288.94000000000005</v>
      </c>
      <c r="X52" s="64">
        <v>288.51999999999987</v>
      </c>
      <c r="Y52" s="64">
        <v>108.15999999999998</v>
      </c>
      <c r="Z52" s="64">
        <v>29.799999999999997</v>
      </c>
      <c r="AA52" s="12">
        <v>-2</v>
      </c>
      <c r="AB52" s="64">
        <v>-20.230000000000008</v>
      </c>
      <c r="AC52" s="8">
        <f t="shared" si="2"/>
        <v>1585.85</v>
      </c>
    </row>
    <row r="53" spans="1:29" x14ac:dyDescent="0.25">
      <c r="A53" s="52">
        <v>1998</v>
      </c>
      <c r="B53" s="122">
        <v>6.74</v>
      </c>
      <c r="C53" s="11">
        <v>27.590000000000007</v>
      </c>
      <c r="D53" s="11">
        <v>128.94999999999999</v>
      </c>
      <c r="E53" s="11">
        <v>193.39</v>
      </c>
      <c r="F53" s="122">
        <v>329.46000000000004</v>
      </c>
      <c r="G53" s="11">
        <v>230.36000000000004</v>
      </c>
      <c r="H53" s="122">
        <v>218.13000000000002</v>
      </c>
      <c r="I53" s="122">
        <v>65.05</v>
      </c>
      <c r="J53" s="11">
        <v>133.01000000000002</v>
      </c>
      <c r="K53" s="11">
        <v>49.23</v>
      </c>
      <c r="L53" s="122">
        <v>25.240000000000006</v>
      </c>
      <c r="M53" s="11">
        <v>-4.6400000000000006</v>
      </c>
      <c r="N53" s="157">
        <f t="shared" si="0"/>
        <v>1402.51</v>
      </c>
      <c r="P53" s="52">
        <v>1998</v>
      </c>
      <c r="Q53" s="11">
        <v>-16.71</v>
      </c>
      <c r="R53" s="11">
        <v>2.0100000000000025</v>
      </c>
      <c r="S53" s="11">
        <v>76.600000000000009</v>
      </c>
      <c r="T53" s="11">
        <v>143.63</v>
      </c>
      <c r="U53" s="11">
        <v>243.54999999999998</v>
      </c>
      <c r="V53" s="11">
        <v>255.58000000000004</v>
      </c>
      <c r="W53" s="11">
        <v>221.78000000000003</v>
      </c>
      <c r="X53" s="11">
        <v>151.51999999999995</v>
      </c>
      <c r="Y53" s="11">
        <v>131.63999999999999</v>
      </c>
      <c r="Z53" s="11">
        <v>35.859999999999992</v>
      </c>
      <c r="AA53" s="11">
        <v>-11.910000000000002</v>
      </c>
      <c r="AB53" s="11">
        <v>-16.479999999999997</v>
      </c>
      <c r="AC53" s="8">
        <f t="shared" si="2"/>
        <v>1217.0699999999997</v>
      </c>
    </row>
    <row r="54" spans="1:29" x14ac:dyDescent="0.25">
      <c r="A54" s="52">
        <v>1999</v>
      </c>
      <c r="B54" s="11">
        <v>5.8100000000000005</v>
      </c>
      <c r="C54" s="11">
        <v>3.5399999999999996</v>
      </c>
      <c r="D54" s="122">
        <v>54.509999999999991</v>
      </c>
      <c r="E54" s="11">
        <v>93.049999999999983</v>
      </c>
      <c r="F54" s="11">
        <v>336.33000000000004</v>
      </c>
      <c r="G54" s="122">
        <v>275.07000000000005</v>
      </c>
      <c r="H54" s="122">
        <v>259.83999999999997</v>
      </c>
      <c r="I54" s="122">
        <v>167.18000000000006</v>
      </c>
      <c r="J54" s="11">
        <v>138.22</v>
      </c>
      <c r="K54" s="11">
        <v>24.459999999999994</v>
      </c>
      <c r="L54" s="11">
        <v>4.22</v>
      </c>
      <c r="M54" s="122">
        <v>-4.6100000000000003</v>
      </c>
      <c r="N54" s="157">
        <f t="shared" si="0"/>
        <v>1357.6200000000003</v>
      </c>
      <c r="P54" s="52">
        <v>1999</v>
      </c>
      <c r="Q54" s="11">
        <v>-2.9000000000000004</v>
      </c>
      <c r="R54" s="11">
        <v>3.5300000000000002</v>
      </c>
      <c r="S54" s="11">
        <v>74.430000000000007</v>
      </c>
      <c r="T54" s="11">
        <v>129.16</v>
      </c>
      <c r="U54" s="11">
        <v>281.19999999999993</v>
      </c>
      <c r="V54" s="11">
        <v>303.55</v>
      </c>
      <c r="W54" s="11">
        <v>314.10000000000002</v>
      </c>
      <c r="X54" s="11">
        <v>195.25999999999996</v>
      </c>
      <c r="Y54" s="11">
        <v>129.63</v>
      </c>
      <c r="Z54" s="11">
        <v>28.969999999999988</v>
      </c>
      <c r="AA54" s="11">
        <v>5.7099999999999964</v>
      </c>
      <c r="AB54" s="11">
        <v>-13.51</v>
      </c>
      <c r="AC54" s="8">
        <f t="shared" si="2"/>
        <v>1449.13</v>
      </c>
    </row>
    <row r="55" spans="1:29" x14ac:dyDescent="0.25">
      <c r="A55" s="52">
        <v>2000</v>
      </c>
      <c r="B55" s="122">
        <v>4.08</v>
      </c>
      <c r="C55" s="122">
        <v>17.259999999999998</v>
      </c>
      <c r="D55" s="11">
        <v>57.640000000000008</v>
      </c>
      <c r="E55" s="11">
        <v>152.66</v>
      </c>
      <c r="F55" s="122">
        <v>338.37000000000006</v>
      </c>
      <c r="G55" s="122">
        <v>280.89999999999992</v>
      </c>
      <c r="H55" s="11">
        <v>237.28</v>
      </c>
      <c r="I55" s="11">
        <v>195.44999999999993</v>
      </c>
      <c r="J55" s="122">
        <v>134.80999999999997</v>
      </c>
      <c r="K55" s="11">
        <v>36.110000000000007</v>
      </c>
      <c r="L55" s="11">
        <v>2.2800000000000002</v>
      </c>
      <c r="M55" s="11">
        <v>8.0900000000000016</v>
      </c>
      <c r="N55" s="157">
        <f t="shared" si="0"/>
        <v>1464.9299999999996</v>
      </c>
      <c r="P55" s="52">
        <v>2000</v>
      </c>
      <c r="Q55" s="11">
        <v>-18.020000000000003</v>
      </c>
      <c r="R55" s="11">
        <v>20.94</v>
      </c>
      <c r="S55" s="11">
        <v>88.289999999999964</v>
      </c>
      <c r="T55" s="11">
        <v>218.10999999999999</v>
      </c>
      <c r="U55" s="11">
        <v>276.09999999999997</v>
      </c>
      <c r="V55" s="11">
        <v>317.51</v>
      </c>
      <c r="W55" s="11">
        <v>261.84999999999997</v>
      </c>
      <c r="X55" s="11">
        <v>193.68</v>
      </c>
      <c r="Y55" s="11">
        <v>96.88000000000001</v>
      </c>
      <c r="Z55" s="11">
        <v>22.03</v>
      </c>
      <c r="AA55" s="11">
        <v>-1.68</v>
      </c>
      <c r="AB55" s="11">
        <v>-16.779999999999998</v>
      </c>
      <c r="AC55" s="8">
        <f t="shared" si="2"/>
        <v>1458.9099999999999</v>
      </c>
    </row>
    <row r="56" spans="1:29" x14ac:dyDescent="0.25">
      <c r="A56" s="52">
        <v>2001</v>
      </c>
      <c r="B56" s="11">
        <v>1.2400000000000007</v>
      </c>
      <c r="C56" s="11">
        <v>22.080000000000002</v>
      </c>
      <c r="D56" s="11">
        <v>101.38999999999999</v>
      </c>
      <c r="E56" s="11">
        <v>108.26</v>
      </c>
      <c r="F56" s="11">
        <v>330.29</v>
      </c>
      <c r="G56" s="11">
        <v>277.28000000000003</v>
      </c>
      <c r="H56" s="11">
        <v>352.02</v>
      </c>
      <c r="I56" s="11">
        <v>200.09000000000003</v>
      </c>
      <c r="J56" s="122">
        <v>60.62</v>
      </c>
      <c r="K56" s="11">
        <v>8.6200000000000045</v>
      </c>
      <c r="L56" s="11">
        <v>-29.080000000000002</v>
      </c>
      <c r="M56" s="122">
        <v>-6.3699999999999992</v>
      </c>
      <c r="N56" s="157">
        <f t="shared" si="0"/>
        <v>1426.44</v>
      </c>
      <c r="P56" s="52">
        <v>2001</v>
      </c>
      <c r="Q56" s="11">
        <v>-12.17</v>
      </c>
      <c r="R56" s="11">
        <v>-7.1400000000000006</v>
      </c>
      <c r="S56" s="11">
        <v>4.7899999999999974</v>
      </c>
      <c r="T56" s="11">
        <v>136.66999999999999</v>
      </c>
      <c r="U56" s="11">
        <v>293.63</v>
      </c>
      <c r="V56" s="11">
        <v>299.74999999999994</v>
      </c>
      <c r="W56" s="11">
        <v>276.58999999999997</v>
      </c>
      <c r="X56" s="11">
        <v>206.09999999999997</v>
      </c>
      <c r="Y56" s="11">
        <v>92.61</v>
      </c>
      <c r="Z56" s="11">
        <v>23.8</v>
      </c>
      <c r="AA56" s="11">
        <v>-16.130000000000003</v>
      </c>
      <c r="AB56" s="11">
        <v>-38.079999999999991</v>
      </c>
      <c r="AC56" s="8">
        <f t="shared" si="2"/>
        <v>1260.4199999999996</v>
      </c>
    </row>
    <row r="57" spans="1:29" x14ac:dyDescent="0.25">
      <c r="A57" s="52">
        <v>2002</v>
      </c>
      <c r="B57" s="11">
        <v>4.7700000000000005</v>
      </c>
      <c r="C57" s="11">
        <v>1.66</v>
      </c>
      <c r="D57" s="11">
        <v>71.679999999999993</v>
      </c>
      <c r="E57" s="122">
        <v>178.28999999999996</v>
      </c>
      <c r="F57" s="122">
        <v>269.93000000000006</v>
      </c>
      <c r="G57" s="11">
        <v>286.89</v>
      </c>
      <c r="H57" s="11">
        <v>240</v>
      </c>
      <c r="I57" s="11">
        <v>272.00999999999993</v>
      </c>
      <c r="J57" s="11">
        <v>141.37999999999997</v>
      </c>
      <c r="K57" s="11">
        <v>34.229999999999997</v>
      </c>
      <c r="L57" s="11">
        <v>18.900000000000002</v>
      </c>
      <c r="M57" s="122" t="s">
        <v>13</v>
      </c>
      <c r="N57" s="157">
        <f t="shared" si="0"/>
        <v>1519.74</v>
      </c>
      <c r="P57" s="52">
        <v>2002</v>
      </c>
      <c r="Q57" s="11">
        <v>-24.900000000000002</v>
      </c>
      <c r="R57" s="11">
        <v>-19.419999999999995</v>
      </c>
      <c r="S57" s="11">
        <v>59.739999999999995</v>
      </c>
      <c r="T57" s="11">
        <v>158.94999999999996</v>
      </c>
      <c r="U57" s="11">
        <v>299</v>
      </c>
      <c r="V57" s="11">
        <v>288.77999999999992</v>
      </c>
      <c r="W57" s="11">
        <v>309.71000000000004</v>
      </c>
      <c r="X57" s="11">
        <v>235.13</v>
      </c>
      <c r="Y57" s="11">
        <v>107.00999999999999</v>
      </c>
      <c r="Z57" s="11">
        <v>-9.1900000000000031</v>
      </c>
      <c r="AA57" s="11">
        <v>-22.130000000000003</v>
      </c>
      <c r="AB57" s="11">
        <v>-38.85</v>
      </c>
      <c r="AC57" s="8">
        <f t="shared" si="2"/>
        <v>1343.8299999999997</v>
      </c>
    </row>
    <row r="58" spans="1:29" x14ac:dyDescent="0.25">
      <c r="A58" s="52">
        <v>2003</v>
      </c>
      <c r="B58" s="11">
        <v>25.4</v>
      </c>
      <c r="C58" s="122" t="s">
        <v>13</v>
      </c>
      <c r="D58" s="122" t="s">
        <v>13</v>
      </c>
      <c r="E58" s="122" t="s">
        <v>13</v>
      </c>
      <c r="F58" s="122" t="s">
        <v>13</v>
      </c>
      <c r="G58" s="122" t="s">
        <v>13</v>
      </c>
      <c r="H58" s="122" t="s">
        <v>13</v>
      </c>
      <c r="I58" s="122" t="s">
        <v>13</v>
      </c>
      <c r="J58" s="122" t="s">
        <v>13</v>
      </c>
      <c r="K58" s="122" t="s">
        <v>13</v>
      </c>
      <c r="L58" s="122" t="s">
        <v>13</v>
      </c>
      <c r="M58" s="122" t="s">
        <v>13</v>
      </c>
      <c r="N58" s="157">
        <f t="shared" si="0"/>
        <v>25.4</v>
      </c>
      <c r="P58" s="52">
        <v>2003</v>
      </c>
      <c r="Q58" s="11">
        <v>-24.520000000000003</v>
      </c>
      <c r="R58" s="11">
        <v>-9.7500000000000018</v>
      </c>
      <c r="S58" s="11">
        <v>82.110000000000014</v>
      </c>
      <c r="T58" s="11">
        <v>162.18440000000001</v>
      </c>
      <c r="U58" s="11">
        <v>237.24520000000004</v>
      </c>
      <c r="V58" s="11">
        <v>294.20480000000003</v>
      </c>
      <c r="W58" s="11">
        <v>317.54799999999994</v>
      </c>
      <c r="X58" s="11">
        <v>218.70400000000001</v>
      </c>
      <c r="Y58" s="11">
        <v>111.66999999999999</v>
      </c>
      <c r="Z58" s="11">
        <v>4.2024000000000044</v>
      </c>
      <c r="AA58" s="11">
        <v>-11.081600000000002</v>
      </c>
      <c r="AB58" s="11">
        <v>-43.095999999999997</v>
      </c>
      <c r="AC58" s="8">
        <f t="shared" si="2"/>
        <v>1339.4212</v>
      </c>
    </row>
    <row r="59" spans="1:29" x14ac:dyDescent="0.25">
      <c r="A59" s="52">
        <v>2004</v>
      </c>
      <c r="B59" s="122" t="s">
        <v>13</v>
      </c>
      <c r="C59" s="122" t="s">
        <v>13</v>
      </c>
      <c r="D59" s="122" t="s">
        <v>13</v>
      </c>
      <c r="E59" s="122" t="s">
        <v>13</v>
      </c>
      <c r="F59" s="122" t="s">
        <v>13</v>
      </c>
      <c r="G59" s="122" t="s">
        <v>13</v>
      </c>
      <c r="H59" s="122" t="s">
        <v>13</v>
      </c>
      <c r="I59" s="122" t="s">
        <v>13</v>
      </c>
      <c r="J59" s="122" t="s">
        <v>13</v>
      </c>
      <c r="K59" s="122">
        <v>1.1700000000000002</v>
      </c>
      <c r="L59" s="11">
        <v>-32.930000000000007</v>
      </c>
      <c r="M59" s="11">
        <v>-32.009999999999991</v>
      </c>
      <c r="N59" s="157">
        <f t="shared" si="0"/>
        <v>-63.769999999999996</v>
      </c>
      <c r="P59" s="52">
        <v>2004</v>
      </c>
      <c r="Q59" s="11">
        <v>-28.739999999999995</v>
      </c>
      <c r="R59" s="11">
        <v>-16.499999999999996</v>
      </c>
      <c r="S59" s="11">
        <v>32.979999999999997</v>
      </c>
      <c r="T59" s="11">
        <v>177.73480000000004</v>
      </c>
      <c r="U59" s="11">
        <v>220.88799999999998</v>
      </c>
      <c r="V59" s="11">
        <v>232.4008</v>
      </c>
      <c r="W59" s="11">
        <v>264.9948</v>
      </c>
      <c r="X59" s="11">
        <v>217.54119999999995</v>
      </c>
      <c r="Y59" s="11">
        <v>95.053599999999989</v>
      </c>
      <c r="Z59" s="11">
        <v>6.8475999999999937</v>
      </c>
      <c r="AA59" s="11">
        <v>-31.485199999999999</v>
      </c>
      <c r="AB59" s="11">
        <v>-26.465200000000003</v>
      </c>
      <c r="AC59" s="8">
        <f t="shared" si="2"/>
        <v>1145.2503999999997</v>
      </c>
    </row>
    <row r="60" spans="1:29" x14ac:dyDescent="0.25">
      <c r="A60" s="52">
        <v>2005</v>
      </c>
      <c r="B60" s="11">
        <v>-39.550000000000004</v>
      </c>
      <c r="C60" s="11">
        <v>-23.730000000000004</v>
      </c>
      <c r="D60" s="122">
        <v>55.82</v>
      </c>
      <c r="E60" s="122">
        <v>125.58000000000001</v>
      </c>
      <c r="F60" s="11">
        <v>290.84000000000003</v>
      </c>
      <c r="G60" s="11">
        <v>306.40000000000003</v>
      </c>
      <c r="H60" s="11">
        <v>308.62000000000006</v>
      </c>
      <c r="I60" s="11">
        <v>205.79</v>
      </c>
      <c r="J60" s="11">
        <v>168.99</v>
      </c>
      <c r="K60" s="11">
        <v>47.929999999999993</v>
      </c>
      <c r="L60" s="11">
        <v>-26.559999999999995</v>
      </c>
      <c r="M60" s="11">
        <v>-36.130000000000003</v>
      </c>
      <c r="N60" s="157">
        <f t="shared" si="0"/>
        <v>1384.0000000000002</v>
      </c>
      <c r="P60" s="52">
        <v>2005</v>
      </c>
      <c r="Q60" s="11">
        <v>-39.540000000000006</v>
      </c>
      <c r="R60" s="11">
        <v>-24.019999999999996</v>
      </c>
      <c r="S60" s="11">
        <v>8.3400000000000016</v>
      </c>
      <c r="T60" s="11">
        <v>175.41999999999996</v>
      </c>
      <c r="U60" s="11">
        <v>247.69000000000003</v>
      </c>
      <c r="V60" s="11">
        <v>300.30999999999995</v>
      </c>
      <c r="W60" s="11">
        <v>323.32400000000001</v>
      </c>
      <c r="X60" s="11">
        <v>203.90359999999998</v>
      </c>
      <c r="Y60" s="11">
        <v>125.91120000000004</v>
      </c>
      <c r="Z60" s="11">
        <v>25.844799999999996</v>
      </c>
      <c r="AA60" s="11">
        <v>-18.796399999999998</v>
      </c>
      <c r="AB60" s="11">
        <v>-29.792399999999997</v>
      </c>
      <c r="AC60" s="8">
        <f t="shared" si="2"/>
        <v>1298.5948000000001</v>
      </c>
    </row>
    <row r="61" spans="1:29" x14ac:dyDescent="0.25">
      <c r="A61" s="52">
        <v>2006</v>
      </c>
      <c r="B61" s="11">
        <v>-34.880000000000003</v>
      </c>
      <c r="C61" s="11">
        <v>-16.439999999999998</v>
      </c>
      <c r="D61" s="11">
        <v>4.3799999999999963</v>
      </c>
      <c r="E61" s="11">
        <v>148.69</v>
      </c>
      <c r="F61" s="11">
        <v>255.61000000000007</v>
      </c>
      <c r="G61" s="11">
        <v>333.44</v>
      </c>
      <c r="H61" s="11">
        <v>331.26000000000005</v>
      </c>
      <c r="I61" s="11">
        <v>178.94000000000003</v>
      </c>
      <c r="J61" s="11">
        <v>128.56</v>
      </c>
      <c r="K61" s="122">
        <v>15.580000000000002</v>
      </c>
      <c r="L61" s="11">
        <v>-23.91</v>
      </c>
      <c r="M61" s="11">
        <v>-48.219999999999992</v>
      </c>
      <c r="N61" s="157">
        <f t="shared" si="0"/>
        <v>1273.01</v>
      </c>
      <c r="P61" s="52">
        <v>2006</v>
      </c>
      <c r="Q61" s="11">
        <v>-34.11</v>
      </c>
      <c r="R61" s="11">
        <v>-10.8</v>
      </c>
      <c r="S61" s="11">
        <v>33.47</v>
      </c>
      <c r="T61" s="11">
        <v>162.88</v>
      </c>
      <c r="U61" s="11">
        <v>236.51</v>
      </c>
      <c r="V61" s="11">
        <v>322.90999999999997</v>
      </c>
      <c r="W61" s="11">
        <v>344.46999999999991</v>
      </c>
      <c r="X61" s="11">
        <v>159.41999999999999</v>
      </c>
      <c r="Y61" s="11">
        <v>129.60999999999996</v>
      </c>
      <c r="Z61" s="11">
        <v>16.8</v>
      </c>
      <c r="AA61" s="11">
        <v>-27.130000000000003</v>
      </c>
      <c r="AB61" s="122">
        <v>-45.13000000000001</v>
      </c>
      <c r="AC61" s="92">
        <f t="shared" si="2"/>
        <v>1288.8999999999996</v>
      </c>
    </row>
    <row r="62" spans="1:29" x14ac:dyDescent="0.25">
      <c r="A62" s="52">
        <v>2007</v>
      </c>
      <c r="B62" s="11">
        <v>-48.689999999999991</v>
      </c>
      <c r="C62" s="11">
        <v>-14.819999999999997</v>
      </c>
      <c r="D62" s="11">
        <v>66.22</v>
      </c>
      <c r="E62" s="11">
        <v>191.22000000000006</v>
      </c>
      <c r="F62" s="11">
        <v>254.71</v>
      </c>
      <c r="G62" s="11">
        <v>303.77999999999997</v>
      </c>
      <c r="H62" s="11">
        <v>260.87</v>
      </c>
      <c r="I62" s="11">
        <v>229.98999999999998</v>
      </c>
      <c r="J62" s="11">
        <v>104.59</v>
      </c>
      <c r="K62" s="11">
        <v>15.159999999999998</v>
      </c>
      <c r="L62" s="11">
        <v>-24.160000000000007</v>
      </c>
      <c r="M62" s="11">
        <v>-29.400000000000002</v>
      </c>
      <c r="N62" s="86">
        <f t="shared" si="0"/>
        <v>1309.4699999999998</v>
      </c>
      <c r="P62" s="52">
        <v>2007</v>
      </c>
      <c r="Q62" s="11">
        <v>-51.899999999999977</v>
      </c>
      <c r="R62" s="11">
        <v>-29.02000000000001</v>
      </c>
      <c r="S62" s="11">
        <v>81.17</v>
      </c>
      <c r="T62" s="11">
        <v>184.79999999999998</v>
      </c>
      <c r="U62" s="11">
        <v>251.11</v>
      </c>
      <c r="V62" s="11">
        <v>309.56</v>
      </c>
      <c r="W62" s="11">
        <v>243.93</v>
      </c>
      <c r="X62" s="11">
        <v>221.21</v>
      </c>
      <c r="Y62" s="11">
        <v>120.17000000000002</v>
      </c>
      <c r="Z62" s="11">
        <v>17.589999999999996</v>
      </c>
      <c r="AA62" s="11">
        <v>-18.990000000000002</v>
      </c>
      <c r="AB62" s="11">
        <v>-24.230000000000004</v>
      </c>
      <c r="AC62" s="8">
        <f t="shared" si="2"/>
        <v>1305.4000000000001</v>
      </c>
    </row>
    <row r="63" spans="1:29" x14ac:dyDescent="0.25">
      <c r="A63" s="52">
        <v>2008</v>
      </c>
      <c r="B63" s="11">
        <v>-43.720000000000013</v>
      </c>
      <c r="C63" s="11">
        <v>-22.769999999999996</v>
      </c>
      <c r="D63" s="122">
        <v>50.589999999999996</v>
      </c>
      <c r="E63" s="11">
        <v>163.33000000000004</v>
      </c>
      <c r="F63" s="11">
        <v>314.05000000000007</v>
      </c>
      <c r="G63" s="11">
        <v>342.68</v>
      </c>
      <c r="H63" s="122">
        <v>311.90999999999991</v>
      </c>
      <c r="I63" s="11">
        <v>189.88000000000002</v>
      </c>
      <c r="J63" s="11">
        <v>113.69</v>
      </c>
      <c r="K63" s="122">
        <v>42.01</v>
      </c>
      <c r="L63" s="122">
        <v>21.850000000000005</v>
      </c>
      <c r="M63" s="11">
        <v>-29.500000000000004</v>
      </c>
      <c r="N63" s="157">
        <f t="shared" si="0"/>
        <v>1454</v>
      </c>
      <c r="P63" s="52">
        <v>2008</v>
      </c>
      <c r="Q63" s="11">
        <v>-33.199999999999996</v>
      </c>
      <c r="R63" s="11">
        <v>-13.539999999999997</v>
      </c>
      <c r="S63" s="11">
        <v>54.77</v>
      </c>
      <c r="T63" s="11">
        <v>153.61000000000001</v>
      </c>
      <c r="U63" s="11">
        <v>263.17</v>
      </c>
      <c r="V63" s="11">
        <v>310.49</v>
      </c>
      <c r="W63" s="11">
        <v>295.01000000000005</v>
      </c>
      <c r="X63" s="11">
        <v>191.44000000000003</v>
      </c>
      <c r="Y63" s="11">
        <v>101.94999999999999</v>
      </c>
      <c r="Z63" s="11">
        <v>0.53999999999999893</v>
      </c>
      <c r="AA63" s="11">
        <v>-30.550000000000004</v>
      </c>
      <c r="AB63" s="11">
        <v>-35.300000000000004</v>
      </c>
      <c r="AC63" s="8">
        <f t="shared" si="2"/>
        <v>1258.3900000000003</v>
      </c>
    </row>
    <row r="64" spans="1:29" x14ac:dyDescent="0.25">
      <c r="A64" s="52">
        <v>2009</v>
      </c>
      <c r="B64" s="11">
        <v>-35.29</v>
      </c>
      <c r="C64" s="11">
        <v>-12.570000000000004</v>
      </c>
      <c r="D64" s="11">
        <v>49.250000000000007</v>
      </c>
      <c r="E64" s="11">
        <v>194.32</v>
      </c>
      <c r="F64" s="11">
        <v>272.94</v>
      </c>
      <c r="G64" s="11">
        <v>268.64000000000004</v>
      </c>
      <c r="H64" s="11">
        <v>326.95999999999992</v>
      </c>
      <c r="I64" s="11">
        <v>239.99000000000004</v>
      </c>
      <c r="J64" s="11">
        <v>118.02000000000001</v>
      </c>
      <c r="K64" s="122">
        <v>0.47000000000000042</v>
      </c>
      <c r="L64" s="11">
        <v>-26.930000000000007</v>
      </c>
      <c r="M64" s="11">
        <v>-42.040000000000013</v>
      </c>
      <c r="N64" s="157">
        <f t="shared" si="0"/>
        <v>1353.76</v>
      </c>
      <c r="P64" s="52">
        <v>2009</v>
      </c>
      <c r="Q64" s="11">
        <v>-30.279999999999983</v>
      </c>
      <c r="R64" s="11">
        <v>-17.730000000000008</v>
      </c>
      <c r="S64" s="11">
        <v>40.5</v>
      </c>
      <c r="T64" s="11">
        <v>214.42999999999998</v>
      </c>
      <c r="U64" s="11">
        <v>269.44999999999993</v>
      </c>
      <c r="V64" s="11">
        <v>230.77999999999997</v>
      </c>
      <c r="W64" s="11">
        <v>283.23000000000008</v>
      </c>
      <c r="X64" s="11">
        <v>252.42</v>
      </c>
      <c r="Y64" s="11">
        <v>131.86999999999998</v>
      </c>
      <c r="Z64" s="11">
        <v>6.2299999999999986</v>
      </c>
      <c r="AA64" s="11">
        <v>-61.249999999999979</v>
      </c>
      <c r="AB64" s="11">
        <v>-37.089999999999989</v>
      </c>
      <c r="AC64" s="8">
        <f t="shared" si="2"/>
        <v>1282.56</v>
      </c>
    </row>
    <row r="65" spans="1:29" x14ac:dyDescent="0.25">
      <c r="A65" s="52">
        <v>2010</v>
      </c>
      <c r="B65" s="122" t="s">
        <v>13</v>
      </c>
      <c r="C65" s="11">
        <v>-10.009999999999996</v>
      </c>
      <c r="D65" s="11">
        <v>46.12</v>
      </c>
      <c r="E65" s="11">
        <v>180.72</v>
      </c>
      <c r="F65" s="11">
        <v>248.15</v>
      </c>
      <c r="G65" s="11">
        <v>309.87</v>
      </c>
      <c r="H65" s="11">
        <v>334.7</v>
      </c>
      <c r="I65" s="11">
        <v>238.60000000000002</v>
      </c>
      <c r="J65" s="11">
        <v>86.34999999999998</v>
      </c>
      <c r="K65" s="122">
        <v>8.110000000000003</v>
      </c>
      <c r="L65" s="122">
        <v>-34.01</v>
      </c>
      <c r="M65" s="122">
        <v>-28.49</v>
      </c>
      <c r="N65" s="157">
        <f t="shared" si="0"/>
        <v>1380.11</v>
      </c>
      <c r="P65" s="52">
        <v>2010</v>
      </c>
      <c r="Q65" s="11">
        <v>-36.21</v>
      </c>
      <c r="R65" s="11">
        <v>-10.500000000000002</v>
      </c>
      <c r="S65" s="11">
        <v>22.97</v>
      </c>
      <c r="T65" s="11">
        <v>159.59999999999997</v>
      </c>
      <c r="U65" s="11">
        <v>225.95</v>
      </c>
      <c r="V65" s="11">
        <v>278.13</v>
      </c>
      <c r="W65" s="11">
        <v>331.50000000000006</v>
      </c>
      <c r="X65" s="11">
        <v>221.26</v>
      </c>
      <c r="Y65" s="11">
        <v>87.54</v>
      </c>
      <c r="Z65" s="11">
        <v>22.2</v>
      </c>
      <c r="AA65" s="11">
        <v>-32.42</v>
      </c>
      <c r="AB65" s="11">
        <v>-31.219999999999995</v>
      </c>
      <c r="AC65" s="8">
        <f t="shared" si="2"/>
        <v>1238.8</v>
      </c>
    </row>
    <row r="66" spans="1:29" x14ac:dyDescent="0.25">
      <c r="A66" s="52">
        <v>2011</v>
      </c>
      <c r="B66" s="122">
        <v>-23.739999999999995</v>
      </c>
      <c r="C66" s="11">
        <v>-37.160000000000004</v>
      </c>
      <c r="D66" s="11">
        <v>82.96</v>
      </c>
      <c r="E66" s="11">
        <v>183.33</v>
      </c>
      <c r="F66" s="11">
        <v>265.57</v>
      </c>
      <c r="G66" s="11">
        <v>331.90999999999997</v>
      </c>
      <c r="H66" s="11">
        <v>238.45000000000002</v>
      </c>
      <c r="I66" s="11">
        <v>207.77</v>
      </c>
      <c r="J66" s="11">
        <v>108.55000000000001</v>
      </c>
      <c r="K66" s="11">
        <v>1.5000000000000013</v>
      </c>
      <c r="L66" s="11">
        <v>-34.379999999999995</v>
      </c>
      <c r="M66" s="11">
        <v>-65.25</v>
      </c>
      <c r="N66" s="157">
        <f t="shared" si="0"/>
        <v>1259.5099999999998</v>
      </c>
      <c r="P66" s="52">
        <v>2011</v>
      </c>
      <c r="Q66" s="11">
        <v>-27.580000000000005</v>
      </c>
      <c r="R66" s="11">
        <v>-30.569999999999997</v>
      </c>
      <c r="S66" s="11">
        <v>71.22999999999999</v>
      </c>
      <c r="T66" s="11">
        <v>188.20999999999998</v>
      </c>
      <c r="U66" s="11">
        <v>249.27000000000004</v>
      </c>
      <c r="V66" s="11">
        <v>330.65000000000003</v>
      </c>
      <c r="W66" s="11">
        <v>271.66000000000003</v>
      </c>
      <c r="X66" s="11">
        <v>213.35</v>
      </c>
      <c r="Y66" s="122">
        <v>97.19</v>
      </c>
      <c r="Z66" s="11">
        <v>5.5700000000000012</v>
      </c>
      <c r="AA66" s="11">
        <v>-33.119999999999997</v>
      </c>
      <c r="AB66" s="11">
        <v>-60.190000000000005</v>
      </c>
      <c r="AC66" s="92">
        <f t="shared" si="2"/>
        <v>1275.67</v>
      </c>
    </row>
    <row r="67" spans="1:29" x14ac:dyDescent="0.25">
      <c r="A67" s="52">
        <v>2012</v>
      </c>
      <c r="B67" s="11">
        <v>-60.300000000000011</v>
      </c>
      <c r="C67" s="122">
        <v>-35.250000000000007</v>
      </c>
      <c r="D67" s="122" t="s">
        <v>13</v>
      </c>
      <c r="E67" s="122">
        <v>77.929999999999993</v>
      </c>
      <c r="F67" s="11">
        <v>295.18999999999994</v>
      </c>
      <c r="G67" s="11">
        <v>281.47000000000008</v>
      </c>
      <c r="H67" s="11">
        <v>289.45</v>
      </c>
      <c r="I67" s="11">
        <v>196.81999999999994</v>
      </c>
      <c r="J67" s="122" t="s">
        <v>13</v>
      </c>
      <c r="K67" s="122">
        <v>-6.9899999999999984</v>
      </c>
      <c r="L67" s="11">
        <v>-29.460000000000004</v>
      </c>
      <c r="M67" s="11">
        <v>-39.550000000000004</v>
      </c>
      <c r="N67" s="157">
        <f t="shared" si="0"/>
        <v>969.31</v>
      </c>
      <c r="P67" s="52">
        <v>2012</v>
      </c>
      <c r="Q67" s="11">
        <v>-47.650000000000006</v>
      </c>
      <c r="R67" s="11">
        <v>-39.219999999999992</v>
      </c>
      <c r="S67" s="11">
        <v>66.010000000000005</v>
      </c>
      <c r="T67" s="122">
        <v>150.19</v>
      </c>
      <c r="U67" s="11">
        <v>324.70999999999998</v>
      </c>
      <c r="V67" s="11">
        <v>265.97999999999996</v>
      </c>
      <c r="W67" s="11">
        <v>321.99000000000012</v>
      </c>
      <c r="X67" s="11">
        <v>212.96000000000004</v>
      </c>
      <c r="Y67" s="11">
        <v>101.50999999999998</v>
      </c>
      <c r="Z67" s="11">
        <v>16.440000000000001</v>
      </c>
      <c r="AA67" s="11">
        <v>-18.190000000000001</v>
      </c>
      <c r="AB67" s="11">
        <v>-33.769999999999989</v>
      </c>
      <c r="AC67" s="92">
        <f t="shared" si="2"/>
        <v>1320.9600000000003</v>
      </c>
    </row>
    <row r="68" spans="1:29" x14ac:dyDescent="0.25">
      <c r="A68" s="52">
        <v>2013</v>
      </c>
      <c r="B68" s="11">
        <v>-34.01</v>
      </c>
      <c r="C68" s="11">
        <v>-10.36</v>
      </c>
      <c r="D68" s="11">
        <v>59.659999999999982</v>
      </c>
      <c r="E68" s="11">
        <v>146.98999999999998</v>
      </c>
      <c r="F68" s="11">
        <v>281.35000000000002</v>
      </c>
      <c r="G68" s="11">
        <v>314.06</v>
      </c>
      <c r="H68" s="11">
        <v>303.88</v>
      </c>
      <c r="I68" s="122">
        <v>228.35999999999999</v>
      </c>
      <c r="J68" s="11">
        <v>84.76</v>
      </c>
      <c r="K68" s="11">
        <v>13.480000000000006</v>
      </c>
      <c r="L68" s="11">
        <v>-32.33</v>
      </c>
      <c r="M68" s="11">
        <v>-50.570000000000007</v>
      </c>
      <c r="N68" s="157">
        <f t="shared" si="0"/>
        <v>1305.2700000000002</v>
      </c>
      <c r="P68" s="52">
        <v>2013</v>
      </c>
      <c r="Q68" s="122">
        <v>-27.479999999999993</v>
      </c>
      <c r="R68" s="11">
        <v>-7.9400000000000057</v>
      </c>
      <c r="S68" s="11">
        <v>34.14</v>
      </c>
      <c r="T68" s="11">
        <v>144.97</v>
      </c>
      <c r="U68" s="11">
        <v>303.89999999999998</v>
      </c>
      <c r="V68" s="11">
        <v>334.84999999999997</v>
      </c>
      <c r="W68" s="11">
        <v>289.58999999999997</v>
      </c>
      <c r="X68" s="11">
        <v>267.17999999999995</v>
      </c>
      <c r="Y68" s="11">
        <v>92.580000000000013</v>
      </c>
      <c r="Z68" s="11">
        <v>14.309999999999997</v>
      </c>
      <c r="AA68" s="11">
        <v>-31.890000000000008</v>
      </c>
      <c r="AB68" s="11">
        <v>-48.250000000000007</v>
      </c>
      <c r="AC68" s="92">
        <f t="shared" si="2"/>
        <v>1365.9599999999998</v>
      </c>
    </row>
    <row r="69" spans="1:29" x14ac:dyDescent="0.25">
      <c r="A69" s="52">
        <v>2014</v>
      </c>
      <c r="B69" s="11">
        <v>-60.759999999999991</v>
      </c>
      <c r="C69" s="11">
        <v>-0.94999999999999751</v>
      </c>
      <c r="D69" s="11">
        <v>58.36</v>
      </c>
      <c r="E69" s="122">
        <v>193.42999999999995</v>
      </c>
      <c r="F69" s="11">
        <v>285.8</v>
      </c>
      <c r="G69" s="11">
        <v>289.53999999999996</v>
      </c>
      <c r="H69" s="11">
        <v>351.40000000000003</v>
      </c>
      <c r="I69" s="11">
        <v>210.5</v>
      </c>
      <c r="J69" s="11">
        <v>136.75000000000003</v>
      </c>
      <c r="K69" s="11">
        <v>14.870000000000003</v>
      </c>
      <c r="L69" s="122">
        <v>-13.58</v>
      </c>
      <c r="M69" s="11">
        <v>-41.599999999999994</v>
      </c>
      <c r="N69" s="157">
        <f t="shared" si="0"/>
        <v>1423.76</v>
      </c>
      <c r="P69" s="52">
        <v>2014</v>
      </c>
      <c r="Q69" s="11">
        <v>-66.86999999999999</v>
      </c>
      <c r="R69" s="11">
        <v>4.4500000000000011</v>
      </c>
      <c r="S69" s="11">
        <v>67.41</v>
      </c>
      <c r="T69" s="11">
        <v>182.47000000000003</v>
      </c>
      <c r="U69" s="11">
        <v>240.51</v>
      </c>
      <c r="V69" s="11">
        <v>250.46999999999997</v>
      </c>
      <c r="W69" s="11">
        <v>340.28999999999996</v>
      </c>
      <c r="X69" s="11">
        <v>206.37</v>
      </c>
      <c r="Y69" s="11">
        <v>142.22000000000003</v>
      </c>
      <c r="Z69" s="11">
        <v>25.650000000000006</v>
      </c>
      <c r="AA69" s="11">
        <v>-12.02</v>
      </c>
      <c r="AB69" s="11">
        <v>-41.55</v>
      </c>
      <c r="AC69" s="8">
        <f t="shared" si="2"/>
        <v>1339.4</v>
      </c>
    </row>
    <row r="70" spans="1:29" x14ac:dyDescent="0.25">
      <c r="A70" s="52">
        <v>2015</v>
      </c>
      <c r="B70" s="11">
        <v>-36.35</v>
      </c>
      <c r="C70" s="11">
        <v>-4.46</v>
      </c>
      <c r="D70" s="11">
        <v>66.640000000000015</v>
      </c>
      <c r="E70" s="11">
        <v>171.70999999999998</v>
      </c>
      <c r="F70" s="11">
        <v>287.86999999999995</v>
      </c>
      <c r="G70" s="11">
        <v>341.67</v>
      </c>
      <c r="H70" s="11">
        <v>274.17000000000013</v>
      </c>
      <c r="I70" s="11">
        <v>284.00000000000006</v>
      </c>
      <c r="J70" s="122">
        <v>14.830000000000002</v>
      </c>
      <c r="K70" s="122">
        <v>2.86</v>
      </c>
      <c r="L70" s="122">
        <v>-12.17</v>
      </c>
      <c r="M70" s="122">
        <v>-44.6</v>
      </c>
      <c r="N70" s="157">
        <f t="shared" si="0"/>
        <v>1346.1699999999998</v>
      </c>
      <c r="P70" s="52">
        <v>2015</v>
      </c>
      <c r="Q70" s="11">
        <v>-39.950000000000003</v>
      </c>
      <c r="R70" s="11">
        <v>-7.7200000000000015</v>
      </c>
      <c r="S70" s="11">
        <v>60.7</v>
      </c>
      <c r="T70" s="11">
        <v>156.88999999999999</v>
      </c>
      <c r="U70" s="11">
        <v>223.35999999999996</v>
      </c>
      <c r="V70" s="11">
        <v>302.69</v>
      </c>
      <c r="W70" s="11">
        <v>296.72000000000003</v>
      </c>
      <c r="X70" s="122">
        <v>257.13</v>
      </c>
      <c r="Y70" s="11">
        <v>104.42999999999999</v>
      </c>
      <c r="Z70" s="11">
        <v>20.690000000000008</v>
      </c>
      <c r="AA70" s="11">
        <v>-26.37</v>
      </c>
      <c r="AB70" s="11">
        <v>-56.649999999999991</v>
      </c>
      <c r="AC70" s="92">
        <f t="shared" si="2"/>
        <v>1291.9200000000003</v>
      </c>
    </row>
    <row r="71" spans="1:29" x14ac:dyDescent="0.25">
      <c r="A71" s="52">
        <v>2016</v>
      </c>
      <c r="B71" s="122">
        <v>-17.18</v>
      </c>
      <c r="C71" s="122">
        <v>-6.03</v>
      </c>
      <c r="D71" s="11">
        <v>66.429999999999993</v>
      </c>
      <c r="E71" s="122">
        <v>147.83999999999997</v>
      </c>
      <c r="F71" s="11">
        <v>304.27</v>
      </c>
      <c r="G71" s="11">
        <v>321.41000000000003</v>
      </c>
      <c r="H71" s="11">
        <v>281.70000000000005</v>
      </c>
      <c r="I71" s="11">
        <v>184.71999999999994</v>
      </c>
      <c r="J71" s="11">
        <v>139.6</v>
      </c>
      <c r="K71" s="11">
        <v>1.2500000000000009</v>
      </c>
      <c r="L71" s="11">
        <v>-29.069999999999997</v>
      </c>
      <c r="M71" s="11">
        <v>-39.889999999999993</v>
      </c>
      <c r="N71" s="157">
        <f t="shared" si="0"/>
        <v>1355.05</v>
      </c>
      <c r="P71" s="52">
        <v>2016</v>
      </c>
      <c r="Q71" s="122">
        <v>-42.91</v>
      </c>
      <c r="R71" s="122">
        <v>-18.579999999999998</v>
      </c>
      <c r="S71" s="11">
        <v>67.430000000000021</v>
      </c>
      <c r="T71" s="11">
        <v>129.22</v>
      </c>
      <c r="U71" s="11">
        <v>319.55999999999995</v>
      </c>
      <c r="V71" s="11">
        <v>314.39</v>
      </c>
      <c r="W71" s="11">
        <v>234.61000000000007</v>
      </c>
      <c r="X71" s="11">
        <v>200.97000000000006</v>
      </c>
      <c r="Y71" s="11">
        <v>113.37000000000002</v>
      </c>
      <c r="Z71" s="11">
        <v>-3.5099999999999985</v>
      </c>
      <c r="AA71" s="11">
        <v>-24.270000000000007</v>
      </c>
      <c r="AB71" s="11">
        <v>-20.540000000000003</v>
      </c>
      <c r="AC71" s="92">
        <f t="shared" si="2"/>
        <v>1269.7400000000002</v>
      </c>
    </row>
    <row r="72" spans="1:29" x14ac:dyDescent="0.25">
      <c r="A72" s="52">
        <v>2017</v>
      </c>
      <c r="B72" s="12">
        <v>-33.910000000000004</v>
      </c>
      <c r="C72" s="12">
        <v>-6.0400000000000018</v>
      </c>
      <c r="D72" s="12">
        <v>71.75</v>
      </c>
      <c r="E72" s="12">
        <v>117.85000000000002</v>
      </c>
      <c r="F72" s="12">
        <v>314.95</v>
      </c>
      <c r="G72" s="12">
        <v>308.64999999999998</v>
      </c>
      <c r="H72" s="124">
        <v>199.9</v>
      </c>
      <c r="I72" s="124">
        <v>13.43</v>
      </c>
      <c r="J72" s="124">
        <v>15.819999999999999</v>
      </c>
      <c r="K72" s="124" t="s">
        <v>13</v>
      </c>
      <c r="L72" s="124" t="s">
        <v>13</v>
      </c>
      <c r="M72" s="124" t="s">
        <v>13</v>
      </c>
      <c r="N72" s="157">
        <f t="shared" si="0"/>
        <v>1002.4</v>
      </c>
      <c r="P72" s="52">
        <v>2017</v>
      </c>
      <c r="Q72" s="11">
        <v>-30.729999999999993</v>
      </c>
      <c r="R72" s="11">
        <v>-0.57999999999999874</v>
      </c>
      <c r="S72" s="11">
        <v>69.139999999999986</v>
      </c>
      <c r="T72" s="11">
        <v>84.73</v>
      </c>
      <c r="U72" s="11">
        <v>262.36</v>
      </c>
      <c r="V72" s="11">
        <v>230.19</v>
      </c>
      <c r="W72" s="11">
        <v>240.37000000000003</v>
      </c>
      <c r="X72" s="11">
        <v>202.42999999999998</v>
      </c>
      <c r="Y72" s="11">
        <v>68.629999999999981</v>
      </c>
      <c r="Z72" s="11">
        <v>-13.29</v>
      </c>
      <c r="AA72" s="11">
        <v>-44.07</v>
      </c>
      <c r="AB72" s="11">
        <v>-59.019999999999996</v>
      </c>
      <c r="AC72" s="8">
        <f t="shared" si="2"/>
        <v>1010.1600000000001</v>
      </c>
    </row>
    <row r="73" spans="1:29" x14ac:dyDescent="0.25">
      <c r="A73" s="52">
        <v>2018</v>
      </c>
      <c r="B73" s="122">
        <v>-43.339999999999996</v>
      </c>
      <c r="C73" s="11">
        <v>-38.469999999999992</v>
      </c>
      <c r="D73" s="122">
        <v>55.269999999999996</v>
      </c>
      <c r="E73" s="122">
        <v>21.13</v>
      </c>
      <c r="F73" s="122" t="s">
        <v>13</v>
      </c>
      <c r="G73" s="122" t="s">
        <v>13</v>
      </c>
      <c r="H73" s="122" t="s">
        <v>13</v>
      </c>
      <c r="I73" s="11">
        <v>129.16999999999999</v>
      </c>
      <c r="J73" s="122" t="s">
        <v>13</v>
      </c>
      <c r="K73" s="122" t="s">
        <v>13</v>
      </c>
      <c r="L73" s="122" t="s">
        <v>13</v>
      </c>
      <c r="M73" s="122">
        <v>-14.390000000000002</v>
      </c>
      <c r="N73" s="157">
        <f t="shared" si="0"/>
        <v>109.36999999999999</v>
      </c>
      <c r="P73" s="52">
        <v>2018</v>
      </c>
      <c r="Q73" s="11">
        <v>-56.33</v>
      </c>
      <c r="R73" s="11">
        <v>-42.93</v>
      </c>
      <c r="S73" s="11">
        <v>42.459999999999994</v>
      </c>
      <c r="T73" s="11">
        <v>174.06000000000003</v>
      </c>
      <c r="U73" s="11">
        <v>346.40000000000003</v>
      </c>
      <c r="V73" s="11">
        <v>309.75000000000006</v>
      </c>
      <c r="W73" s="11">
        <v>279.25000000000006</v>
      </c>
      <c r="X73" s="11">
        <v>250.98000000000002</v>
      </c>
      <c r="Y73" s="11">
        <v>119.49999999999997</v>
      </c>
      <c r="Z73" s="11">
        <v>13.1</v>
      </c>
      <c r="AA73" s="11">
        <v>-29.23</v>
      </c>
      <c r="AB73" s="11">
        <v>-28.15</v>
      </c>
      <c r="AC73" s="8">
        <f t="shared" si="2"/>
        <v>1378.86</v>
      </c>
    </row>
    <row r="74" spans="1:29" x14ac:dyDescent="0.25">
      <c r="A74" s="52">
        <v>2019</v>
      </c>
      <c r="B74" s="13">
        <v>-33.779999999999987</v>
      </c>
      <c r="C74" s="13">
        <v>-1.0099999999999998</v>
      </c>
      <c r="D74" s="13">
        <v>40.64</v>
      </c>
      <c r="E74" s="13">
        <v>194.57999999999998</v>
      </c>
      <c r="F74" s="13">
        <v>228.42</v>
      </c>
      <c r="G74" s="13">
        <v>372.78999999999991</v>
      </c>
      <c r="H74" s="13">
        <v>291.10999999999996</v>
      </c>
      <c r="I74" s="13">
        <v>230.29</v>
      </c>
      <c r="J74" s="13">
        <v>85.500000000000028</v>
      </c>
      <c r="K74" s="13">
        <v>8.1900000000000048</v>
      </c>
      <c r="L74" s="123">
        <v>-6.1199999999999992</v>
      </c>
      <c r="M74" s="123" t="s">
        <v>13</v>
      </c>
      <c r="N74" s="157">
        <f t="shared" si="0"/>
        <v>1410.61</v>
      </c>
      <c r="P74" s="52">
        <v>2019</v>
      </c>
      <c r="Q74" s="11">
        <v>-33.239999999999995</v>
      </c>
      <c r="R74" s="11">
        <v>-2.719999999999998</v>
      </c>
      <c r="S74" s="11">
        <v>55.470000000000006</v>
      </c>
      <c r="T74" s="11">
        <v>174.85999999999999</v>
      </c>
      <c r="U74" s="11">
        <v>202.92999999999998</v>
      </c>
      <c r="V74" s="11">
        <v>349</v>
      </c>
      <c r="W74" s="11">
        <v>270.03000000000003</v>
      </c>
      <c r="X74" s="11">
        <v>220.60999999999999</v>
      </c>
      <c r="Y74" s="11">
        <v>86.899999999999977</v>
      </c>
      <c r="Z74" s="11">
        <v>-7.2299999999999986</v>
      </c>
      <c r="AA74" s="11">
        <v>-39.269999999999996</v>
      </c>
      <c r="AB74" s="11">
        <v>-65.330000000000013</v>
      </c>
      <c r="AC74" s="8">
        <f t="shared" si="2"/>
        <v>1212.0099999999998</v>
      </c>
    </row>
    <row r="75" spans="1:29" x14ac:dyDescent="0.25">
      <c r="A75" s="52">
        <v>2020</v>
      </c>
      <c r="B75" s="90" t="s">
        <v>13</v>
      </c>
      <c r="C75" s="4">
        <v>-24.62</v>
      </c>
      <c r="D75" s="4">
        <v>65.53</v>
      </c>
      <c r="E75" s="4">
        <v>190.47</v>
      </c>
      <c r="F75" s="4">
        <v>288.41999999999996</v>
      </c>
      <c r="G75" s="8">
        <v>282.48</v>
      </c>
      <c r="H75" s="4">
        <v>288.17</v>
      </c>
      <c r="I75" s="4">
        <v>222.13999999999996</v>
      </c>
      <c r="J75" s="4">
        <v>110.14999999999999</v>
      </c>
      <c r="K75" s="4">
        <v>7.1099999999999994</v>
      </c>
      <c r="L75" s="4">
        <v>-33.29</v>
      </c>
      <c r="M75" s="4">
        <v>-43.039999999999992</v>
      </c>
      <c r="N75" s="157">
        <f t="shared" si="0"/>
        <v>1353.52</v>
      </c>
      <c r="P75" s="52">
        <v>2020</v>
      </c>
      <c r="Q75" s="123" t="s">
        <v>13</v>
      </c>
      <c r="R75" s="13">
        <v>-22.360000000000007</v>
      </c>
      <c r="S75" s="13">
        <v>77.259999999999991</v>
      </c>
      <c r="T75" s="13">
        <v>155.49</v>
      </c>
      <c r="U75" s="13">
        <v>257.51</v>
      </c>
      <c r="V75" s="13">
        <v>362.05000000000007</v>
      </c>
      <c r="W75" s="13">
        <v>307.75000000000006</v>
      </c>
      <c r="X75" s="13">
        <v>254.16000000000005</v>
      </c>
      <c r="Y75" s="13">
        <v>129.13000000000002</v>
      </c>
      <c r="Z75" s="13">
        <v>9.7299999999999986</v>
      </c>
      <c r="AA75" s="13">
        <v>-28.169999999999998</v>
      </c>
      <c r="AB75" s="13">
        <v>-30.540000000000003</v>
      </c>
      <c r="AC75" s="92">
        <f t="shared" si="2"/>
        <v>1472.0100000000002</v>
      </c>
    </row>
    <row r="76" spans="1:29" x14ac:dyDescent="0.25">
      <c r="A76" s="52">
        <v>2021</v>
      </c>
      <c r="B76" s="2">
        <v>-25.96</v>
      </c>
      <c r="C76" s="2">
        <v>-26.52</v>
      </c>
      <c r="D76" s="2">
        <v>60.98</v>
      </c>
      <c r="E76" s="2">
        <v>155.03</v>
      </c>
      <c r="F76" s="2">
        <v>258.92</v>
      </c>
      <c r="G76" s="2">
        <v>328.17</v>
      </c>
      <c r="H76" s="2">
        <v>367.97</v>
      </c>
      <c r="I76" s="2">
        <v>198.53</v>
      </c>
      <c r="J76" s="2">
        <v>125.36</v>
      </c>
      <c r="K76" s="2">
        <v>3.29</v>
      </c>
      <c r="L76" s="2">
        <v>-43.02</v>
      </c>
      <c r="M76" s="95">
        <v>-54.31</v>
      </c>
      <c r="N76" s="157">
        <f t="shared" si="0"/>
        <v>1348.44</v>
      </c>
      <c r="P76" s="52">
        <v>2021</v>
      </c>
      <c r="Q76" s="12">
        <v>-28.76</v>
      </c>
      <c r="R76" s="12">
        <v>-23.53</v>
      </c>
      <c r="S76" s="12">
        <v>49.77000000000001</v>
      </c>
      <c r="T76" s="12">
        <v>135.95999999999998</v>
      </c>
      <c r="U76" s="12">
        <v>230.69</v>
      </c>
      <c r="V76" s="12">
        <v>368.42</v>
      </c>
      <c r="W76" s="12">
        <v>361.58999999999992</v>
      </c>
      <c r="X76" s="12">
        <v>178.50999999999996</v>
      </c>
      <c r="Y76" s="12">
        <v>99.61</v>
      </c>
      <c r="Z76" s="12">
        <v>10.269999999999989</v>
      </c>
      <c r="AA76" s="124">
        <v>-33.409999999999997</v>
      </c>
      <c r="AB76" s="124">
        <v>-41.64</v>
      </c>
      <c r="AC76" s="92">
        <f t="shared" si="2"/>
        <v>1307.4799999999996</v>
      </c>
    </row>
    <row r="77" spans="1:29" x14ac:dyDescent="0.25">
      <c r="A77" s="52">
        <v>2022</v>
      </c>
      <c r="B77" s="95">
        <v>-46.65</v>
      </c>
      <c r="C77" s="95">
        <v>-21.43</v>
      </c>
      <c r="D77" s="2">
        <v>96.25</v>
      </c>
      <c r="E77" s="2">
        <v>184.78</v>
      </c>
      <c r="F77" s="95">
        <v>273.04000000000002</v>
      </c>
      <c r="G77" s="2">
        <v>344.98</v>
      </c>
      <c r="H77" s="2">
        <v>275.23</v>
      </c>
      <c r="I77" s="2">
        <v>254.12</v>
      </c>
      <c r="J77" s="95">
        <v>105.16</v>
      </c>
      <c r="K77" s="2">
        <v>22.16</v>
      </c>
      <c r="L77" s="2">
        <v>-21.96</v>
      </c>
      <c r="M77" s="4">
        <v>-32.799999999999997</v>
      </c>
      <c r="N77" s="157">
        <f t="shared" si="0"/>
        <v>1432.8800000000003</v>
      </c>
      <c r="P77" s="52">
        <v>2022</v>
      </c>
      <c r="Q77" s="90">
        <v>-71.11</v>
      </c>
      <c r="R77" s="90">
        <v>-14.3</v>
      </c>
      <c r="S77" s="4">
        <v>83.690000000000026</v>
      </c>
      <c r="T77" s="90">
        <v>149.26</v>
      </c>
      <c r="U77" s="90">
        <v>235.38</v>
      </c>
      <c r="V77" s="4">
        <v>322.81999999999994</v>
      </c>
      <c r="W77" s="4">
        <v>325.44000000000005</v>
      </c>
      <c r="X77" s="4">
        <v>291.66000000000003</v>
      </c>
      <c r="Y77" s="4">
        <v>109.83000000000003</v>
      </c>
      <c r="Z77" s="2">
        <v>20.6</v>
      </c>
      <c r="AA77" s="2">
        <v>-17.04</v>
      </c>
      <c r="AB77" s="2">
        <v>-27.83</v>
      </c>
      <c r="AC77" s="92">
        <f t="shared" si="2"/>
        <v>1408.4</v>
      </c>
    </row>
    <row r="78" spans="1:29" x14ac:dyDescent="0.25">
      <c r="A78" s="52">
        <v>2023</v>
      </c>
      <c r="B78" s="2">
        <v>-32.74</v>
      </c>
      <c r="C78" s="2">
        <v>-9.74</v>
      </c>
      <c r="D78" s="2">
        <v>38.33</v>
      </c>
      <c r="E78" s="4">
        <v>151.4</v>
      </c>
      <c r="F78" s="2">
        <v>296.45999999999998</v>
      </c>
      <c r="G78" s="2">
        <v>322.92</v>
      </c>
      <c r="H78" s="2">
        <v>300.02999999999997</v>
      </c>
      <c r="I78" s="2">
        <v>210.17</v>
      </c>
      <c r="J78" s="2">
        <v>126.59</v>
      </c>
      <c r="K78" s="4">
        <v>-6.5</v>
      </c>
      <c r="L78" s="2">
        <v>-44.46</v>
      </c>
      <c r="M78" s="95">
        <v>-36.880000000000003</v>
      </c>
      <c r="N78" s="157">
        <f>SUM(B78:M78)</f>
        <v>1315.5799999999997</v>
      </c>
      <c r="P78" s="52">
        <v>2023</v>
      </c>
      <c r="Q78" s="4">
        <v>-21.7</v>
      </c>
      <c r="R78" s="2">
        <v>-10.46</v>
      </c>
      <c r="S78" s="2">
        <v>51.96</v>
      </c>
      <c r="T78" s="2">
        <v>166.23</v>
      </c>
      <c r="U78" s="2">
        <v>321.44</v>
      </c>
      <c r="V78" s="2">
        <v>323.52999999999997</v>
      </c>
      <c r="W78" s="2">
        <v>309.02</v>
      </c>
      <c r="X78" s="2">
        <v>227.76</v>
      </c>
      <c r="Y78" s="2">
        <v>157.66</v>
      </c>
      <c r="Z78" s="2">
        <v>6.22</v>
      </c>
      <c r="AA78" s="2">
        <v>-35.65</v>
      </c>
      <c r="AB78" s="4">
        <v>-31.9</v>
      </c>
      <c r="AC78" s="8">
        <f>SUM(Q78:AB78)</f>
        <v>1464.11</v>
      </c>
    </row>
    <row r="79" spans="1:29" x14ac:dyDescent="0.25">
      <c r="A79" s="52">
        <v>2024</v>
      </c>
      <c r="B79" s="2">
        <v>-35.979999999999997</v>
      </c>
      <c r="C79" s="2">
        <v>-11.46</v>
      </c>
      <c r="D79" s="2">
        <v>55.47</v>
      </c>
      <c r="E79" s="2">
        <v>138.55000000000001</v>
      </c>
      <c r="F79" s="2">
        <v>307.07</v>
      </c>
      <c r="G79" s="2">
        <v>318.91000000000003</v>
      </c>
      <c r="H79" s="2">
        <v>298.47000000000003</v>
      </c>
      <c r="I79" s="2">
        <v>258.33</v>
      </c>
      <c r="J79" s="4">
        <v>122</v>
      </c>
      <c r="K79" s="4">
        <v>7.2</v>
      </c>
      <c r="L79" s="2">
        <v>-37.85</v>
      </c>
      <c r="M79" s="2">
        <v>-41.69</v>
      </c>
      <c r="N79" s="86">
        <f>SUM(B79:M79)</f>
        <v>1379.02</v>
      </c>
      <c r="P79" s="52">
        <v>2024</v>
      </c>
      <c r="Q79" s="2">
        <v>-36.869999999999997</v>
      </c>
      <c r="R79" s="2">
        <v>-2.48</v>
      </c>
      <c r="S79" s="2">
        <v>64.94</v>
      </c>
      <c r="T79" s="2">
        <v>138.46</v>
      </c>
      <c r="U79" s="2">
        <v>336.87</v>
      </c>
      <c r="V79" s="2">
        <v>360.01</v>
      </c>
      <c r="W79" s="2">
        <v>326.20999999999998</v>
      </c>
      <c r="X79" s="2">
        <v>287.07</v>
      </c>
      <c r="Y79" s="2">
        <v>139.94999999999999</v>
      </c>
      <c r="Z79" s="2">
        <v>23.02</v>
      </c>
      <c r="AA79" s="2">
        <v>-30.27</v>
      </c>
      <c r="AB79" s="2">
        <v>-38.840000000000003</v>
      </c>
      <c r="AC79" s="8">
        <f>SUM(Q79:AB79)</f>
        <v>1568.0700000000002</v>
      </c>
    </row>
    <row r="80" spans="1:29" x14ac:dyDescent="0.25">
      <c r="A80" s="52">
        <v>2025</v>
      </c>
      <c r="B80" s="2">
        <v>-33.770000000000003</v>
      </c>
      <c r="C80" s="2">
        <v>-13.93</v>
      </c>
      <c r="D80" s="2">
        <v>69.02</v>
      </c>
      <c r="E80" s="2">
        <v>201.03</v>
      </c>
      <c r="F80" s="2">
        <v>263.08999999999997</v>
      </c>
      <c r="G80" s="2">
        <v>299.47000000000003</v>
      </c>
      <c r="H80" s="2">
        <v>279.70999999999998</v>
      </c>
      <c r="I80" s="2">
        <v>203.81</v>
      </c>
      <c r="J80" s="2">
        <v>109.66</v>
      </c>
      <c r="K80" s="2">
        <v>11.56</v>
      </c>
      <c r="L80" s="2">
        <v>-29.17</v>
      </c>
      <c r="M80" s="2">
        <v>-32.86</v>
      </c>
      <c r="N80" s="86">
        <f>SUM(B80:M80)</f>
        <v>1327.62</v>
      </c>
      <c r="P80" s="52">
        <v>2025</v>
      </c>
      <c r="Q80" s="2">
        <v>-32.56</v>
      </c>
      <c r="R80" s="2">
        <v>-2.29</v>
      </c>
      <c r="S80" s="4">
        <v>83.5</v>
      </c>
      <c r="T80" s="2">
        <v>202.03</v>
      </c>
      <c r="U80" s="2">
        <v>287.08999999999997</v>
      </c>
      <c r="V80" s="2">
        <v>325.76</v>
      </c>
      <c r="W80" s="2">
        <v>320.52999999999997</v>
      </c>
      <c r="X80" s="2">
        <v>236.67</v>
      </c>
      <c r="Y80" s="4">
        <v>141.69999999999999</v>
      </c>
      <c r="Z80" s="2">
        <v>11.11</v>
      </c>
      <c r="AA80" s="2">
        <v>-23.33</v>
      </c>
      <c r="AB80" s="2">
        <v>-37.42</v>
      </c>
      <c r="AC80" s="8">
        <f>SUM(Q80:AB80)</f>
        <v>1512.79</v>
      </c>
    </row>
    <row r="84" spans="1:29" x14ac:dyDescent="0.25">
      <c r="A84" s="160" t="s">
        <v>29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  <c r="P84" s="160" t="s">
        <v>29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2"/>
    </row>
    <row r="85" spans="1:29" x14ac:dyDescent="0.25">
      <c r="A85" s="51"/>
      <c r="B85" s="52" t="s">
        <v>1</v>
      </c>
      <c r="C85" s="52" t="s">
        <v>2</v>
      </c>
      <c r="D85" s="52" t="s">
        <v>3</v>
      </c>
      <c r="E85" s="52" t="s">
        <v>4</v>
      </c>
      <c r="F85" s="52" t="s">
        <v>5</v>
      </c>
      <c r="G85" s="52" t="s">
        <v>6</v>
      </c>
      <c r="H85" s="52" t="s">
        <v>7</v>
      </c>
      <c r="I85" s="52" t="s">
        <v>8</v>
      </c>
      <c r="J85" s="52" t="s">
        <v>9</v>
      </c>
      <c r="K85" s="52" t="s">
        <v>10</v>
      </c>
      <c r="L85" s="52" t="s">
        <v>11</v>
      </c>
      <c r="M85" s="52" t="s">
        <v>12</v>
      </c>
      <c r="N85" s="52" t="s">
        <v>25</v>
      </c>
      <c r="P85" s="51"/>
      <c r="Q85" s="52" t="s">
        <v>1</v>
      </c>
      <c r="R85" s="52" t="s">
        <v>2</v>
      </c>
      <c r="S85" s="52" t="s">
        <v>3</v>
      </c>
      <c r="T85" s="52" t="s">
        <v>4</v>
      </c>
      <c r="U85" s="52" t="s">
        <v>5</v>
      </c>
      <c r="V85" s="52" t="s">
        <v>6</v>
      </c>
      <c r="W85" s="52" t="s">
        <v>7</v>
      </c>
      <c r="X85" s="52" t="s">
        <v>8</v>
      </c>
      <c r="Y85" s="52" t="s">
        <v>9</v>
      </c>
      <c r="Z85" s="52" t="s">
        <v>10</v>
      </c>
      <c r="AA85" s="52" t="s">
        <v>11</v>
      </c>
      <c r="AB85" s="52" t="s">
        <v>12</v>
      </c>
      <c r="AC85" s="52" t="s">
        <v>25</v>
      </c>
    </row>
    <row r="86" spans="1:29" x14ac:dyDescent="0.25">
      <c r="A86" s="53" t="s">
        <v>23</v>
      </c>
      <c r="B86" s="56">
        <f>MAX(B19:B38,B41:B46,B56:B58,B72,B76,B60:B64,B67:B70,B74,B78:B80,B52,B54)</f>
        <v>25.4</v>
      </c>
      <c r="C86" s="56">
        <f>MAX(C19:C25,C27:C38,C41:C42,C44:C47,C51:C54,C56:C57,C60:C66,C68:C70,C72:C76,C78:C80)</f>
        <v>29.9</v>
      </c>
      <c r="D86" s="56">
        <f>MAX(D19:D25,D27:D38,D40:D44,D46:D47,D51:D53,D55:D57,D61:D62,D64:D66,D68:D72,D74:D80)</f>
        <v>128.94999999999999</v>
      </c>
      <c r="E86" s="56">
        <f>MAX(E19:E38,E44,E51:E56,E46:E47,E61:E66,E70,E72,E41,E74:E80,E68)</f>
        <v>226.09</v>
      </c>
      <c r="F86" s="56">
        <f>MAX(F19:F38,F40:F41,F52,F54,F56,F60:F72,F44,F47,F78:F80,F74:F76)</f>
        <v>360.06</v>
      </c>
      <c r="G86" s="56">
        <f>MAX(G19:G38,G46,G43:G44,G51,G53,G56:G57,G40:G41,G60:G72,G74:G80)</f>
        <v>440</v>
      </c>
      <c r="H86" s="56">
        <f>MAX(H19:H38,H40:H41,H43:H44,H55:H57,H64:H71,H51,H74:H80,H60:H62,H46)</f>
        <v>386.33</v>
      </c>
      <c r="I86" s="56">
        <f>MAX(I19:I41,I43:I44,I46,I51:I52,I55:I57,I60:I67,I73:I80,I69:I71)</f>
        <v>284.00000000000006</v>
      </c>
      <c r="J86" s="56">
        <f>MAX(J19:J38,J44:J46,J74:J76,J51:J54,J57,J78:J80,J60:J66,J40:J41,J68:J69,J71)</f>
        <v>168.99</v>
      </c>
      <c r="K86" s="56">
        <f>MAX(K27:K38,K53:K57,K68:K69,K66,K44,K50,K74:K80,K19:K25,K40:K41,K46,K60,K62,K71)</f>
        <v>51.86</v>
      </c>
      <c r="L86" s="56">
        <f>MAX(L19:L38,L42,L54:L57,L59:L62,L44,L66:L68,L40,L71,L46,L75:L80,L50:L51,L64)</f>
        <v>18.900000000000002</v>
      </c>
      <c r="M86" s="56">
        <f>MAX(M27:M38,M40:M41,M53,M44,M55,M75,M59:M64,M66:M69,M71,M79:M80,M77,M19:M25,M46)</f>
        <v>8.0900000000000016</v>
      </c>
      <c r="N86" s="99">
        <f>MAX(N19,N21:N25,N44,N62,N79:N80,N27:N38)</f>
        <v>1622.92</v>
      </c>
      <c r="P86" s="53" t="s">
        <v>23</v>
      </c>
      <c r="Q86" s="56">
        <f>MAX(Q37,Q39:Q43,Q46:Q67,Q69:Q70,Q72:Q74,Q76,Q78:Q80)</f>
        <v>-0.92000000000000037</v>
      </c>
      <c r="R86" s="56">
        <f>MAX(R37,R39:R43,R46:R48,R50:R70,R72:R76,R78:R80)</f>
        <v>20.94</v>
      </c>
      <c r="S86" s="56">
        <f>MAX(S37,S39:S41,S46:S50,S52:S80)</f>
        <v>91.85</v>
      </c>
      <c r="T86" s="56">
        <f>MAX(T37,T39:T42,T45:T48,T50,T52:T66,T68:T76,T78:T80)</f>
        <v>245.93</v>
      </c>
      <c r="U86" s="56">
        <f>MAX(U37,U39,U41:U42,U46:U48,U50:U76,U78:U80)</f>
        <v>346.40000000000003</v>
      </c>
      <c r="V86" s="56">
        <f>MAX(V37,V39,V41,V50,V52:V80)</f>
        <v>375.4</v>
      </c>
      <c r="W86" s="56">
        <f>MAX(W37:W38,W40:W42,W46:W48,W50:W80)</f>
        <v>383.40999999999991</v>
      </c>
      <c r="X86" s="56">
        <f>MAX(X37:X42,X46:X48,X50,X52:X69,X71:X80)</f>
        <v>316.26</v>
      </c>
      <c r="Y86" s="56">
        <f>MAX(Y37:Y38,Y41:Y42,Y46:Y48,Y50,Y52:Y65,Y67:Y80)</f>
        <v>157.66</v>
      </c>
      <c r="Z86" s="56">
        <f>MAX(Z37:Z42,Z46:Z80)</f>
        <v>84.7</v>
      </c>
      <c r="AA86" s="56">
        <f>MAX(AA37:AA42,AA46:AA75,AA77:AA80)</f>
        <v>12</v>
      </c>
      <c r="AB86" s="56">
        <f>MAX(AB38:AB42,AB46:AB49,AB51:AB60,AB62:AB75,AB77:AB80)</f>
        <v>-3.19</v>
      </c>
      <c r="AC86" s="99">
        <f>MAX(AC40:AC41,AC52:AC60,AC62:AC65,P87,AC69,AC72:AC74,AC78:AC80)</f>
        <v>1629.3999999999999</v>
      </c>
    </row>
    <row r="87" spans="1:29" x14ac:dyDescent="0.25">
      <c r="A87" s="51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P87" s="51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1:29" x14ac:dyDescent="0.25">
      <c r="A88" s="54" t="s">
        <v>24</v>
      </c>
      <c r="B88" s="55">
        <f>MIN(B19:B38,B56:B58,B74,B41:B46,B72,B60:B64,B67:B70,B76,B78:B80,B52,B54)</f>
        <v>-62.8</v>
      </c>
      <c r="C88" s="55">
        <f>MIN(C19:C25,,C27:C38,C41:C42,C44:C47,C51:C54,C56:C57,C68:C70,C60:C66,C72:C76,C78:C80)</f>
        <v>-116.53000000000003</v>
      </c>
      <c r="D88" s="55">
        <f>MAX(D19:D25,D27:D38,D40:D44,D46:D47,D51:D53,D55:D57,D68:D72,D64:D66,D61:D62,D74:D80)</f>
        <v>128.94999999999999</v>
      </c>
      <c r="E88" s="55">
        <f>MIN(E19:E38,E44,E51:E56,E46:E47,E61:E66,E70,E72,E41,E74:E80,E68)</f>
        <v>87.88</v>
      </c>
      <c r="F88" s="55">
        <f>MIN(F19:F38,F44,F52,F54,F56,F60:F72,F74:F76,F78:F80,F40:F41,F47)</f>
        <v>213.53</v>
      </c>
      <c r="G88" s="55">
        <f>MIN(G19:G38,G53,G43:G44,G51,G56:G57,G46,G60:G72,G74:G80,G40:G41)</f>
        <v>230.36000000000004</v>
      </c>
      <c r="H88" s="55">
        <f>MIN(H19:H38,H40:H41,H43:H44,H60:H62,H51,H55:H57,H46,H74:H80,H64:H71)</f>
        <v>205.15</v>
      </c>
      <c r="I88" s="55">
        <f>MIN(I19:I41,I43:I44,I46,I55:I57,I51:I52,I60:I67,I73:I80,I69:I71)</f>
        <v>129.16999999999999</v>
      </c>
      <c r="J88" s="55">
        <f>MIN(J19:J38,J44:J46,J74:J76,J57,J60:J66,J78:J80,J51:J54,J40:J41,J68:J69,J71)</f>
        <v>-20.57</v>
      </c>
      <c r="K88" s="55">
        <f>MIN(K27:K38,K44,K53:K57,K62,K66,K50,K74:K80,K19:K25,K40:K41,K46,K60,K68:K69,K71)</f>
        <v>-25.28</v>
      </c>
      <c r="L88" s="55">
        <f>MIN(L19:L38,L50:L51,L59:L62,L64,L66:L68,L71,L46,L44,L75:L80,L54:L57,L40,L42)</f>
        <v>-59.210000000000015</v>
      </c>
      <c r="M88" s="55">
        <f>MIN(M19:M25,M40:M41,M46,M44,M27:M38,M75,M59:M64,M66:M69,M71,M79:M80,M77,M53,M55)</f>
        <v>-80.059999999999988</v>
      </c>
      <c r="N88" s="99">
        <f>MIN(N19,N21:N25,N44,N62,N79:N80,N27:N38)</f>
        <v>1268.4599999999998</v>
      </c>
      <c r="P88" s="54" t="s">
        <v>24</v>
      </c>
      <c r="Q88" s="55">
        <f>MIN(Q37,Q39:Q43,Q46:Q67,Q69:Q70,Q72:Q74,Q76,Q78:Q80)</f>
        <v>-66.86999999999999</v>
      </c>
      <c r="R88" s="55">
        <f>MIN(R37,R39:R43,R46:R48,R50:R70,R72:R76,R78:R80)</f>
        <v>-53.60000000000003</v>
      </c>
      <c r="S88" s="55">
        <f>MIN(S37,S39:S41,S46:S50,S52:S80)</f>
        <v>-25.880000000000003</v>
      </c>
      <c r="T88" s="55">
        <f>MIN(T37,T39:T42,T45:T48,T50,T52:T66,T68:T76,T78:T80)</f>
        <v>84.73</v>
      </c>
      <c r="U88" s="55">
        <f>MIN(U37,U39,U41:U42,U46:U48,U50:U76,U78:U80)</f>
        <v>181.4</v>
      </c>
      <c r="V88" s="55">
        <f>MIN(V37,V39,V41,V50,V52:V80)</f>
        <v>229.7</v>
      </c>
      <c r="W88" s="55">
        <f>MIN(W37:W38,W40:W42,W46:W48,W50:W80)</f>
        <v>221.78000000000003</v>
      </c>
      <c r="X88" s="55">
        <f>MIN(X37:X42,X46:X48,X50,X52:X69,X71:X80)</f>
        <v>132.84</v>
      </c>
      <c r="Y88" s="55">
        <f>MIN(Y37:Y38,Y41:Y42,Y46:Y48:Y52:Y65,Y50,Y67:Y80)</f>
        <v>62.460000000000008</v>
      </c>
      <c r="Z88" s="55">
        <f>MIN(Z37:Z42,Z46:Z80)</f>
        <v>-13.29</v>
      </c>
      <c r="AA88" s="55">
        <f>MIN(AA37:AA42,AA46:AA75,AA77:AA80)</f>
        <v>-61.249999999999979</v>
      </c>
      <c r="AB88" s="55">
        <f>MIN(AB38:AB42,AB46:AB49,AB51:AB60,AB62:AB75,AB77:AB80)</f>
        <v>-65.330000000000013</v>
      </c>
      <c r="AC88" s="99">
        <f>MIN(AC40:AC41,AC52:AC60,AC62:AC65,AC69,AC72:AC74,AC78:AC80)</f>
        <v>1010.1600000000001</v>
      </c>
    </row>
  </sheetData>
  <mergeCells count="4">
    <mergeCell ref="A84:N84"/>
    <mergeCell ref="P84:AC84"/>
    <mergeCell ref="B9:J9"/>
    <mergeCell ref="Q9:Y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1C02-1DFC-45DC-888E-C012DA6762CE}">
  <dimension ref="A1:AC88"/>
  <sheetViews>
    <sheetView tabSelected="1" zoomScale="50" zoomScaleNormal="50" workbookViewId="0">
      <selection activeCell="J2" sqref="J2"/>
    </sheetView>
  </sheetViews>
  <sheetFormatPr defaultRowHeight="15" x14ac:dyDescent="0.25"/>
  <cols>
    <col min="1" max="1" width="14.5703125" customWidth="1"/>
    <col min="2" max="5" width="13.140625" bestFit="1" customWidth="1"/>
    <col min="6" max="6" width="15" customWidth="1"/>
    <col min="7" max="7" width="15.140625" customWidth="1"/>
    <col min="8" max="8" width="13.140625" bestFit="1" customWidth="1"/>
    <col min="9" max="9" width="16" customWidth="1"/>
    <col min="10" max="10" width="13.140625" bestFit="1" customWidth="1"/>
    <col min="11" max="11" width="11.28515625" customWidth="1"/>
    <col min="12" max="13" width="13.140625" bestFit="1" customWidth="1"/>
    <col min="16" max="16" width="14.5703125" customWidth="1"/>
    <col min="17" max="20" width="13.140625" bestFit="1" customWidth="1"/>
    <col min="21" max="21" width="15" customWidth="1"/>
    <col min="22" max="22" width="15.140625" customWidth="1"/>
    <col min="23" max="23" width="13.140625" bestFit="1" customWidth="1"/>
    <col min="24" max="24" width="16" customWidth="1"/>
    <col min="25" max="25" width="13.140625" bestFit="1" customWidth="1"/>
    <col min="26" max="26" width="11.28515625" customWidth="1"/>
    <col min="27" max="28" width="13.140625" bestFit="1" customWidth="1"/>
  </cols>
  <sheetData>
    <row r="1" spans="1:29" ht="15.75" x14ac:dyDescent="0.25">
      <c r="A1" s="5" t="s">
        <v>55</v>
      </c>
      <c r="O1" s="140"/>
      <c r="P1" s="5" t="s">
        <v>43</v>
      </c>
    </row>
    <row r="2" spans="1:29" x14ac:dyDescent="0.25">
      <c r="A2" s="6" t="s">
        <v>14</v>
      </c>
      <c r="O2" s="140"/>
      <c r="P2" s="6" t="s">
        <v>44</v>
      </c>
    </row>
    <row r="3" spans="1:29" x14ac:dyDescent="0.25">
      <c r="A3" s="6" t="s">
        <v>22</v>
      </c>
      <c r="O3" s="140"/>
      <c r="P3" s="6" t="s">
        <v>45</v>
      </c>
    </row>
    <row r="4" spans="1:29" x14ac:dyDescent="0.25">
      <c r="A4" s="96"/>
      <c r="B4" s="3" t="s">
        <v>46</v>
      </c>
      <c r="O4" s="140"/>
      <c r="P4" s="137"/>
      <c r="Q4" s="3" t="s">
        <v>46</v>
      </c>
    </row>
    <row r="5" spans="1:29" x14ac:dyDescent="0.25">
      <c r="A5" s="43"/>
      <c r="B5" t="s">
        <v>57</v>
      </c>
      <c r="O5" s="140"/>
      <c r="P5" s="138"/>
      <c r="Q5" t="s">
        <v>57</v>
      </c>
    </row>
    <row r="6" spans="1:29" x14ac:dyDescent="0.25">
      <c r="O6" s="140"/>
    </row>
    <row r="7" spans="1:29" x14ac:dyDescent="0.25">
      <c r="O7" s="140"/>
    </row>
    <row r="8" spans="1:29" x14ac:dyDescent="0.25">
      <c r="A8" s="52" t="s">
        <v>0</v>
      </c>
      <c r="B8" s="54" t="s">
        <v>1</v>
      </c>
      <c r="C8" s="54" t="s">
        <v>2</v>
      </c>
      <c r="D8" s="54" t="s">
        <v>3</v>
      </c>
      <c r="E8" s="54" t="s">
        <v>4</v>
      </c>
      <c r="F8" s="54" t="s">
        <v>5</v>
      </c>
      <c r="G8" s="54" t="s">
        <v>6</v>
      </c>
      <c r="H8" s="54" t="s">
        <v>7</v>
      </c>
      <c r="I8" s="54" t="s">
        <v>8</v>
      </c>
      <c r="J8" s="54" t="s">
        <v>9</v>
      </c>
      <c r="K8" s="54" t="s">
        <v>10</v>
      </c>
      <c r="L8" s="54" t="s">
        <v>11</v>
      </c>
      <c r="M8" s="54" t="s">
        <v>12</v>
      </c>
      <c r="N8" s="54" t="s">
        <v>27</v>
      </c>
      <c r="P8" s="52" t="s">
        <v>0</v>
      </c>
      <c r="Q8" s="54" t="s">
        <v>1</v>
      </c>
      <c r="R8" s="54" t="s">
        <v>2</v>
      </c>
      <c r="S8" s="54" t="s">
        <v>3</v>
      </c>
      <c r="T8" s="54" t="s">
        <v>4</v>
      </c>
      <c r="U8" s="54" t="s">
        <v>5</v>
      </c>
      <c r="V8" s="54" t="s">
        <v>6</v>
      </c>
      <c r="W8" s="54" t="s">
        <v>7</v>
      </c>
      <c r="X8" s="54" t="s">
        <v>8</v>
      </c>
      <c r="Y8" s="54" t="s">
        <v>9</v>
      </c>
      <c r="Z8" s="54" t="s">
        <v>10</v>
      </c>
      <c r="AA8" s="54" t="s">
        <v>11</v>
      </c>
      <c r="AB8" s="54" t="s">
        <v>12</v>
      </c>
      <c r="AC8" s="54" t="s">
        <v>27</v>
      </c>
    </row>
    <row r="9" spans="1:29" x14ac:dyDescent="0.25">
      <c r="A9" s="52">
        <v>1954</v>
      </c>
      <c r="B9" s="163" t="s">
        <v>50</v>
      </c>
      <c r="C9" s="164"/>
      <c r="D9" s="164"/>
      <c r="E9" s="164"/>
      <c r="F9" s="164"/>
      <c r="G9" s="164"/>
      <c r="H9" s="164"/>
      <c r="I9" s="164"/>
      <c r="J9" s="165"/>
      <c r="K9" s="38"/>
      <c r="L9" s="38"/>
      <c r="M9" s="38"/>
      <c r="N9" s="43"/>
      <c r="P9" s="52">
        <v>1954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43"/>
    </row>
    <row r="10" spans="1:29" x14ac:dyDescent="0.25">
      <c r="A10" s="52">
        <v>1955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43"/>
      <c r="P10" s="52">
        <v>1955</v>
      </c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43"/>
    </row>
    <row r="11" spans="1:29" x14ac:dyDescent="0.25">
      <c r="A11" s="52">
        <v>1956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43"/>
      <c r="P11" s="52">
        <v>1956</v>
      </c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43"/>
    </row>
    <row r="12" spans="1:29" x14ac:dyDescent="0.25">
      <c r="A12" s="52">
        <v>1957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43"/>
      <c r="P12" s="52">
        <v>1957</v>
      </c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43"/>
    </row>
    <row r="13" spans="1:29" x14ac:dyDescent="0.25">
      <c r="A13" s="52">
        <v>1958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43"/>
      <c r="P13" s="52">
        <v>1958</v>
      </c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43"/>
    </row>
    <row r="14" spans="1:29" x14ac:dyDescent="0.25">
      <c r="A14" s="52">
        <v>1959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43"/>
      <c r="P14" s="52">
        <v>1959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43"/>
    </row>
    <row r="15" spans="1:29" x14ac:dyDescent="0.25">
      <c r="A15" s="52">
        <v>1960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43"/>
      <c r="P15" s="52">
        <v>1960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43"/>
    </row>
    <row r="16" spans="1:29" x14ac:dyDescent="0.25">
      <c r="A16" s="52">
        <v>1961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43"/>
      <c r="P16" s="52">
        <v>1961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43"/>
    </row>
    <row r="17" spans="1:29" x14ac:dyDescent="0.25">
      <c r="A17" s="52">
        <v>1962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43"/>
      <c r="P17" s="52">
        <v>1962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43"/>
    </row>
    <row r="18" spans="1:29" x14ac:dyDescent="0.25">
      <c r="A18" s="52">
        <v>1963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3"/>
      <c r="P18" s="52">
        <v>1963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43"/>
    </row>
    <row r="19" spans="1:29" x14ac:dyDescent="0.25">
      <c r="A19" s="52">
        <v>1964</v>
      </c>
      <c r="B19" s="2">
        <v>47</v>
      </c>
      <c r="C19" s="2">
        <v>63</v>
      </c>
      <c r="D19" s="2">
        <v>33</v>
      </c>
      <c r="E19" s="2">
        <v>17</v>
      </c>
      <c r="F19" s="2">
        <v>19</v>
      </c>
      <c r="G19" s="2">
        <v>19</v>
      </c>
      <c r="H19" s="2">
        <v>20</v>
      </c>
      <c r="I19" s="2">
        <v>21</v>
      </c>
      <c r="J19" s="2">
        <v>22</v>
      </c>
      <c r="K19" s="2">
        <v>20</v>
      </c>
      <c r="L19" s="2">
        <v>20</v>
      </c>
      <c r="M19" s="2">
        <v>31</v>
      </c>
      <c r="N19" s="14">
        <f>AVERAGE(B19:M19)</f>
        <v>27.666666666666668</v>
      </c>
      <c r="P19" s="52">
        <v>1964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73"/>
    </row>
    <row r="20" spans="1:29" x14ac:dyDescent="0.25">
      <c r="A20" s="52">
        <v>1965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2">
        <v>57</v>
      </c>
      <c r="N20" s="126">
        <f t="shared" ref="N20:N77" si="0">AVERAGE(B20:M20)</f>
        <v>57</v>
      </c>
      <c r="P20" s="52">
        <v>1965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73"/>
    </row>
    <row r="21" spans="1:29" x14ac:dyDescent="0.25">
      <c r="A21" s="52">
        <v>1966</v>
      </c>
      <c r="B21" s="2">
        <v>60</v>
      </c>
      <c r="C21" s="2">
        <v>44</v>
      </c>
      <c r="D21" s="2">
        <v>20</v>
      </c>
      <c r="E21" s="2">
        <v>25</v>
      </c>
      <c r="F21" s="2">
        <v>20</v>
      </c>
      <c r="G21" s="2">
        <v>20</v>
      </c>
      <c r="H21" s="2">
        <v>21</v>
      </c>
      <c r="I21" s="2">
        <v>21</v>
      </c>
      <c r="J21" s="2">
        <v>21</v>
      </c>
      <c r="K21" s="2">
        <v>21</v>
      </c>
      <c r="L21" s="2">
        <v>24</v>
      </c>
      <c r="M21" s="2">
        <v>51</v>
      </c>
      <c r="N21" s="14">
        <f t="shared" si="0"/>
        <v>29</v>
      </c>
      <c r="P21" s="52">
        <v>1966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73"/>
    </row>
    <row r="22" spans="1:29" x14ac:dyDescent="0.25">
      <c r="A22" s="52">
        <v>1967</v>
      </c>
      <c r="B22" s="2">
        <v>70</v>
      </c>
      <c r="C22" s="2">
        <v>45</v>
      </c>
      <c r="D22" s="2">
        <v>18</v>
      </c>
      <c r="E22" s="2">
        <v>19</v>
      </c>
      <c r="F22" s="2">
        <v>20</v>
      </c>
      <c r="G22" s="2">
        <v>19</v>
      </c>
      <c r="H22" s="2">
        <v>17</v>
      </c>
      <c r="I22" s="2">
        <v>19</v>
      </c>
      <c r="J22" s="2">
        <v>22</v>
      </c>
      <c r="K22" s="2">
        <v>22</v>
      </c>
      <c r="L22" s="2">
        <v>20</v>
      </c>
      <c r="M22" s="2">
        <v>61</v>
      </c>
      <c r="N22" s="14">
        <f t="shared" si="0"/>
        <v>29.333333333333332</v>
      </c>
      <c r="P22" s="52">
        <v>1967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73"/>
    </row>
    <row r="23" spans="1:29" x14ac:dyDescent="0.25">
      <c r="A23" s="52">
        <v>1968</v>
      </c>
      <c r="B23" s="2">
        <v>71</v>
      </c>
      <c r="C23" s="2">
        <v>58</v>
      </c>
      <c r="D23" s="2">
        <v>44</v>
      </c>
      <c r="E23" s="2">
        <v>16</v>
      </c>
      <c r="F23" s="2">
        <v>20</v>
      </c>
      <c r="G23" s="2">
        <v>19</v>
      </c>
      <c r="H23" s="2">
        <v>19</v>
      </c>
      <c r="I23" s="2">
        <v>20</v>
      </c>
      <c r="J23" s="2">
        <v>22</v>
      </c>
      <c r="K23" s="2">
        <v>21</v>
      </c>
      <c r="L23" s="2">
        <v>21</v>
      </c>
      <c r="M23" s="2">
        <v>32</v>
      </c>
      <c r="N23" s="14">
        <f t="shared" si="0"/>
        <v>30.25</v>
      </c>
      <c r="P23" s="52">
        <v>1968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73"/>
    </row>
    <row r="24" spans="1:29" x14ac:dyDescent="0.25">
      <c r="A24" s="52">
        <v>1969</v>
      </c>
      <c r="B24" s="2">
        <v>51</v>
      </c>
      <c r="C24" s="2">
        <v>55</v>
      </c>
      <c r="D24" s="2">
        <v>28</v>
      </c>
      <c r="E24" s="2">
        <v>18</v>
      </c>
      <c r="F24" s="2">
        <v>20</v>
      </c>
      <c r="G24" s="2">
        <v>19</v>
      </c>
      <c r="H24" s="2">
        <v>19</v>
      </c>
      <c r="I24" s="2">
        <v>18</v>
      </c>
      <c r="J24" s="2">
        <v>17</v>
      </c>
      <c r="K24" s="2">
        <v>20</v>
      </c>
      <c r="L24" s="2">
        <v>28</v>
      </c>
      <c r="M24" s="2">
        <v>71</v>
      </c>
      <c r="N24" s="14">
        <f t="shared" si="0"/>
        <v>30.333333333333332</v>
      </c>
      <c r="P24" s="52">
        <v>1969</v>
      </c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73"/>
    </row>
    <row r="25" spans="1:29" x14ac:dyDescent="0.25">
      <c r="A25" s="52">
        <v>1970</v>
      </c>
      <c r="B25" s="2">
        <v>66</v>
      </c>
      <c r="C25" s="2">
        <v>69</v>
      </c>
      <c r="D25" s="2">
        <v>54</v>
      </c>
      <c r="E25" s="2">
        <v>17</v>
      </c>
      <c r="F25" s="2">
        <v>19</v>
      </c>
      <c r="G25" s="2">
        <v>19</v>
      </c>
      <c r="H25" s="2">
        <v>19</v>
      </c>
      <c r="I25" s="2">
        <v>21</v>
      </c>
      <c r="J25" s="2">
        <v>23</v>
      </c>
      <c r="K25" s="2">
        <v>23</v>
      </c>
      <c r="L25" s="2">
        <v>25</v>
      </c>
      <c r="M25" s="2">
        <v>37</v>
      </c>
      <c r="N25" s="14">
        <f t="shared" si="0"/>
        <v>32.666666666666664</v>
      </c>
      <c r="P25" s="52">
        <v>1970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73"/>
    </row>
    <row r="26" spans="1:29" x14ac:dyDescent="0.25">
      <c r="A26" s="52">
        <v>1971</v>
      </c>
      <c r="B26" s="2">
        <v>49</v>
      </c>
      <c r="C26" s="2">
        <v>30</v>
      </c>
      <c r="D26" s="2">
        <v>36</v>
      </c>
      <c r="E26" s="2">
        <v>18</v>
      </c>
      <c r="F26" s="2">
        <v>19</v>
      </c>
      <c r="G26" s="2">
        <v>20</v>
      </c>
      <c r="H26" s="2">
        <v>20</v>
      </c>
      <c r="I26" s="2">
        <v>23</v>
      </c>
      <c r="J26" s="2">
        <v>23</v>
      </c>
      <c r="K26" s="2">
        <v>24</v>
      </c>
      <c r="L26" s="2">
        <v>36</v>
      </c>
      <c r="M26" s="2">
        <v>31</v>
      </c>
      <c r="N26" s="14">
        <f t="shared" si="0"/>
        <v>27.416666666666668</v>
      </c>
      <c r="P26" s="52">
        <v>1971</v>
      </c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73"/>
    </row>
    <row r="27" spans="1:29" x14ac:dyDescent="0.25">
      <c r="A27" s="52">
        <v>1972</v>
      </c>
      <c r="B27" s="2">
        <v>52</v>
      </c>
      <c r="C27" s="2">
        <v>29</v>
      </c>
      <c r="D27" s="2">
        <v>25</v>
      </c>
      <c r="E27" s="2">
        <v>17</v>
      </c>
      <c r="F27" s="2">
        <v>20</v>
      </c>
      <c r="G27" s="2">
        <v>19</v>
      </c>
      <c r="H27" s="2">
        <v>20</v>
      </c>
      <c r="I27" s="2">
        <v>20</v>
      </c>
      <c r="J27" s="2">
        <v>20</v>
      </c>
      <c r="K27" s="2">
        <v>19</v>
      </c>
      <c r="L27" s="2">
        <v>26</v>
      </c>
      <c r="M27" s="2">
        <v>22</v>
      </c>
      <c r="N27" s="14">
        <f t="shared" si="0"/>
        <v>24.083333333333332</v>
      </c>
      <c r="P27" s="52">
        <v>1972</v>
      </c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73"/>
    </row>
    <row r="28" spans="1:29" x14ac:dyDescent="0.25">
      <c r="A28" s="52">
        <v>1973</v>
      </c>
      <c r="B28" s="2">
        <v>34</v>
      </c>
      <c r="C28" s="2">
        <v>32</v>
      </c>
      <c r="D28" s="2">
        <v>18</v>
      </c>
      <c r="E28" s="2">
        <v>18</v>
      </c>
      <c r="F28" s="2">
        <v>19</v>
      </c>
      <c r="G28" s="2">
        <v>20</v>
      </c>
      <c r="H28" s="2">
        <v>20</v>
      </c>
      <c r="I28" s="2">
        <v>22</v>
      </c>
      <c r="J28" s="2">
        <v>22</v>
      </c>
      <c r="K28" s="2">
        <v>24</v>
      </c>
      <c r="L28" s="2">
        <v>41</v>
      </c>
      <c r="M28" s="2">
        <v>64</v>
      </c>
      <c r="N28" s="14">
        <f t="shared" si="0"/>
        <v>27.833333333333332</v>
      </c>
      <c r="P28" s="52">
        <v>1973</v>
      </c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73"/>
    </row>
    <row r="29" spans="1:29" x14ac:dyDescent="0.25">
      <c r="A29" s="52">
        <v>1974</v>
      </c>
      <c r="B29" s="2">
        <v>30</v>
      </c>
      <c r="C29" s="2">
        <v>24</v>
      </c>
      <c r="D29" s="2">
        <v>16</v>
      </c>
      <c r="E29" s="2">
        <v>16</v>
      </c>
      <c r="F29" s="2">
        <v>19</v>
      </c>
      <c r="G29" s="2">
        <v>19</v>
      </c>
      <c r="H29" s="2">
        <v>20</v>
      </c>
      <c r="I29" s="2">
        <v>20</v>
      </c>
      <c r="J29" s="2">
        <v>21</v>
      </c>
      <c r="K29" s="2">
        <v>22</v>
      </c>
      <c r="L29" s="2">
        <v>22</v>
      </c>
      <c r="M29" s="2">
        <v>32</v>
      </c>
      <c r="N29" s="14">
        <f t="shared" si="0"/>
        <v>21.75</v>
      </c>
      <c r="P29" s="52">
        <v>1974</v>
      </c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73"/>
    </row>
    <row r="30" spans="1:29" x14ac:dyDescent="0.25">
      <c r="A30" s="52">
        <v>1975</v>
      </c>
      <c r="B30" s="2">
        <v>25</v>
      </c>
      <c r="C30" s="2">
        <v>24</v>
      </c>
      <c r="D30" s="2">
        <v>18</v>
      </c>
      <c r="E30" s="2">
        <v>16</v>
      </c>
      <c r="F30" s="2">
        <v>19</v>
      </c>
      <c r="G30" s="2">
        <v>20</v>
      </c>
      <c r="H30" s="2">
        <v>18</v>
      </c>
      <c r="I30" s="2">
        <v>19</v>
      </c>
      <c r="J30" s="2">
        <v>20</v>
      </c>
      <c r="K30" s="2">
        <v>22</v>
      </c>
      <c r="L30" s="2">
        <v>40</v>
      </c>
      <c r="M30" s="2">
        <v>38</v>
      </c>
      <c r="N30" s="14">
        <f t="shared" si="0"/>
        <v>23.25</v>
      </c>
      <c r="P30" s="52">
        <v>1975</v>
      </c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73"/>
    </row>
    <row r="31" spans="1:29" x14ac:dyDescent="0.25">
      <c r="A31" s="52">
        <v>1976</v>
      </c>
      <c r="B31" s="2">
        <v>38</v>
      </c>
      <c r="C31" s="2">
        <v>57</v>
      </c>
      <c r="D31" s="2">
        <v>31</v>
      </c>
      <c r="E31" s="2">
        <v>18</v>
      </c>
      <c r="F31" s="2">
        <v>19</v>
      </c>
      <c r="G31" s="2">
        <v>20</v>
      </c>
      <c r="H31" s="2">
        <v>20</v>
      </c>
      <c r="I31" s="2">
        <v>21</v>
      </c>
      <c r="J31" s="2">
        <v>21</v>
      </c>
      <c r="K31" s="2">
        <v>19</v>
      </c>
      <c r="L31" s="2">
        <v>28</v>
      </c>
      <c r="M31" s="2">
        <v>59</v>
      </c>
      <c r="N31" s="14">
        <f t="shared" si="0"/>
        <v>29.25</v>
      </c>
      <c r="O31" s="1"/>
      <c r="P31" s="52">
        <v>1976</v>
      </c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73"/>
    </row>
    <row r="32" spans="1:29" x14ac:dyDescent="0.25">
      <c r="A32" s="52">
        <v>1977</v>
      </c>
      <c r="B32" s="2">
        <v>65</v>
      </c>
      <c r="C32" s="2">
        <v>61</v>
      </c>
      <c r="D32" s="2">
        <v>23</v>
      </c>
      <c r="E32" s="2">
        <v>18</v>
      </c>
      <c r="F32" s="2">
        <v>20</v>
      </c>
      <c r="G32" s="2">
        <v>21</v>
      </c>
      <c r="H32" s="2">
        <v>21</v>
      </c>
      <c r="I32" s="2">
        <v>22</v>
      </c>
      <c r="J32" s="2">
        <v>22</v>
      </c>
      <c r="K32" s="2">
        <v>22</v>
      </c>
      <c r="L32" s="2">
        <v>23</v>
      </c>
      <c r="M32" s="2">
        <v>38</v>
      </c>
      <c r="N32" s="14">
        <f t="shared" si="0"/>
        <v>29.666666666666668</v>
      </c>
      <c r="O32" s="1"/>
      <c r="P32" s="52">
        <v>1977</v>
      </c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73"/>
    </row>
    <row r="33" spans="1:29" x14ac:dyDescent="0.25">
      <c r="A33" s="52">
        <v>1978</v>
      </c>
      <c r="B33" s="2">
        <v>59</v>
      </c>
      <c r="C33" s="2">
        <v>66</v>
      </c>
      <c r="D33" s="2">
        <v>32</v>
      </c>
      <c r="E33" s="2">
        <v>17</v>
      </c>
      <c r="F33" s="2">
        <v>19</v>
      </c>
      <c r="G33" s="2">
        <v>20</v>
      </c>
      <c r="H33" s="2">
        <v>22</v>
      </c>
      <c r="I33" s="2">
        <v>23</v>
      </c>
      <c r="J33" s="2">
        <v>23</v>
      </c>
      <c r="K33" s="2">
        <v>24</v>
      </c>
      <c r="L33" s="2">
        <v>25</v>
      </c>
      <c r="M33" s="2">
        <v>34</v>
      </c>
      <c r="N33" s="14">
        <f t="shared" si="0"/>
        <v>30.333333333333332</v>
      </c>
      <c r="O33" s="1"/>
      <c r="P33" s="52">
        <v>1978</v>
      </c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73"/>
    </row>
    <row r="34" spans="1:29" x14ac:dyDescent="0.25">
      <c r="A34" s="52">
        <v>1979</v>
      </c>
      <c r="B34" s="2">
        <v>72</v>
      </c>
      <c r="C34" s="2">
        <v>76</v>
      </c>
      <c r="D34" s="2">
        <v>51</v>
      </c>
      <c r="E34" s="2">
        <v>18</v>
      </c>
      <c r="F34" s="2">
        <v>21</v>
      </c>
      <c r="G34" s="2">
        <v>22</v>
      </c>
      <c r="H34" s="2">
        <v>22</v>
      </c>
      <c r="I34" s="2">
        <v>23</v>
      </c>
      <c r="J34" s="2">
        <v>23</v>
      </c>
      <c r="K34" s="2">
        <v>25</v>
      </c>
      <c r="L34" s="2">
        <v>24</v>
      </c>
      <c r="M34" s="2">
        <v>35</v>
      </c>
      <c r="N34" s="14">
        <f t="shared" si="0"/>
        <v>34.333333333333336</v>
      </c>
      <c r="O34" s="1"/>
      <c r="P34" s="52">
        <v>1979</v>
      </c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73"/>
    </row>
    <row r="35" spans="1:29" x14ac:dyDescent="0.25">
      <c r="A35" s="52">
        <v>1980</v>
      </c>
      <c r="B35" s="2">
        <v>72</v>
      </c>
      <c r="C35" s="2">
        <v>72</v>
      </c>
      <c r="D35" s="2">
        <v>68</v>
      </c>
      <c r="E35" s="2">
        <v>20</v>
      </c>
      <c r="F35" s="2">
        <v>21</v>
      </c>
      <c r="G35" s="2">
        <v>21</v>
      </c>
      <c r="H35" s="2">
        <v>24</v>
      </c>
      <c r="I35" s="2">
        <v>23</v>
      </c>
      <c r="J35" s="2">
        <v>24</v>
      </c>
      <c r="K35" s="2">
        <v>24</v>
      </c>
      <c r="L35" s="2">
        <v>50</v>
      </c>
      <c r="M35" s="95" t="s">
        <v>13</v>
      </c>
      <c r="N35" s="126">
        <f t="shared" si="0"/>
        <v>38.090909090909093</v>
      </c>
      <c r="O35" s="20"/>
      <c r="P35" s="52">
        <v>1980</v>
      </c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73"/>
    </row>
    <row r="36" spans="1:29" x14ac:dyDescent="0.25">
      <c r="A36" s="52">
        <v>1981</v>
      </c>
      <c r="B36" s="2">
        <v>69</v>
      </c>
      <c r="C36" s="2">
        <v>60</v>
      </c>
      <c r="D36" s="2">
        <v>32</v>
      </c>
      <c r="E36" s="2">
        <v>19</v>
      </c>
      <c r="F36" s="2">
        <v>20</v>
      </c>
      <c r="G36" s="2">
        <v>22</v>
      </c>
      <c r="H36" s="2">
        <v>21</v>
      </c>
      <c r="I36" s="2">
        <v>21</v>
      </c>
      <c r="J36" s="2">
        <v>22</v>
      </c>
      <c r="K36" s="2">
        <v>23</v>
      </c>
      <c r="L36" s="2">
        <v>27</v>
      </c>
      <c r="M36" s="2">
        <v>74</v>
      </c>
      <c r="N36" s="14">
        <f t="shared" si="0"/>
        <v>34.166666666666664</v>
      </c>
      <c r="O36" s="21"/>
      <c r="P36" s="52">
        <v>1981</v>
      </c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73"/>
    </row>
    <row r="37" spans="1:29" x14ac:dyDescent="0.25">
      <c r="A37" s="52">
        <v>1982</v>
      </c>
      <c r="B37" s="2">
        <v>72</v>
      </c>
      <c r="C37" s="2">
        <v>58</v>
      </c>
      <c r="D37" s="2">
        <v>31</v>
      </c>
      <c r="E37" s="2">
        <v>19</v>
      </c>
      <c r="F37" s="2">
        <v>20</v>
      </c>
      <c r="G37" s="2">
        <v>22</v>
      </c>
      <c r="H37" s="2">
        <v>21</v>
      </c>
      <c r="I37" s="2">
        <v>20</v>
      </c>
      <c r="J37" s="2">
        <v>23</v>
      </c>
      <c r="K37" s="2">
        <v>23</v>
      </c>
      <c r="L37" s="2">
        <v>23</v>
      </c>
      <c r="M37" s="95" t="s">
        <v>13</v>
      </c>
      <c r="N37" s="126">
        <f t="shared" si="0"/>
        <v>30.181818181818183</v>
      </c>
      <c r="O37" s="1"/>
      <c r="P37" s="52">
        <v>1982</v>
      </c>
      <c r="Q37" s="84">
        <v>74</v>
      </c>
      <c r="R37" s="84">
        <v>72</v>
      </c>
      <c r="S37" s="84">
        <v>40</v>
      </c>
      <c r="T37" s="84">
        <v>18</v>
      </c>
      <c r="U37" s="84">
        <v>22</v>
      </c>
      <c r="V37" s="84">
        <v>21</v>
      </c>
      <c r="W37" s="84">
        <v>21</v>
      </c>
      <c r="X37" s="84">
        <v>22</v>
      </c>
      <c r="Y37" s="84">
        <v>23</v>
      </c>
      <c r="Z37" s="84">
        <v>23</v>
      </c>
      <c r="AA37" s="84">
        <v>23</v>
      </c>
      <c r="AB37" s="125" t="s">
        <v>13</v>
      </c>
      <c r="AC37" s="126">
        <f t="shared" ref="AC37:AC45" si="1">AVERAGE(Q37:AB37)</f>
        <v>32.636363636363633</v>
      </c>
    </row>
    <row r="38" spans="1:29" x14ac:dyDescent="0.25">
      <c r="A38" s="52">
        <v>1983</v>
      </c>
      <c r="B38" s="95" t="s">
        <v>13</v>
      </c>
      <c r="C38" s="2">
        <v>59</v>
      </c>
      <c r="D38" s="2">
        <v>25</v>
      </c>
      <c r="E38" s="2">
        <v>21</v>
      </c>
      <c r="F38" s="2">
        <v>23</v>
      </c>
      <c r="G38" s="2">
        <v>22</v>
      </c>
      <c r="H38" s="2">
        <v>23</v>
      </c>
      <c r="I38" s="2">
        <v>21</v>
      </c>
      <c r="J38" s="2">
        <v>23</v>
      </c>
      <c r="K38" s="2">
        <v>22</v>
      </c>
      <c r="L38" s="95" t="s">
        <v>13</v>
      </c>
      <c r="M38" s="2">
        <v>45</v>
      </c>
      <c r="N38" s="126">
        <f t="shared" si="0"/>
        <v>28.4</v>
      </c>
      <c r="O38" s="1"/>
      <c r="P38" s="52">
        <v>1983</v>
      </c>
      <c r="Q38" s="95" t="s">
        <v>13</v>
      </c>
      <c r="R38" s="95" t="s">
        <v>13</v>
      </c>
      <c r="S38" s="95" t="s">
        <v>13</v>
      </c>
      <c r="T38" s="95" t="s">
        <v>13</v>
      </c>
      <c r="U38" s="95" t="s">
        <v>13</v>
      </c>
      <c r="V38" s="95" t="s">
        <v>13</v>
      </c>
      <c r="W38" s="84">
        <v>23</v>
      </c>
      <c r="X38" s="84">
        <v>20</v>
      </c>
      <c r="Y38" s="84">
        <v>20</v>
      </c>
      <c r="Z38" s="84">
        <v>21</v>
      </c>
      <c r="AA38" s="84">
        <v>44</v>
      </c>
      <c r="AB38" s="84">
        <v>49</v>
      </c>
      <c r="AC38" s="126">
        <f t="shared" si="1"/>
        <v>29.5</v>
      </c>
    </row>
    <row r="39" spans="1:29" x14ac:dyDescent="0.25">
      <c r="A39" s="52">
        <v>1984</v>
      </c>
      <c r="B39" s="95" t="s">
        <v>13</v>
      </c>
      <c r="C39" s="14">
        <v>51</v>
      </c>
      <c r="D39" s="14">
        <v>22</v>
      </c>
      <c r="E39" s="14">
        <v>20</v>
      </c>
      <c r="F39" s="14">
        <v>20</v>
      </c>
      <c r="G39" s="14">
        <v>21</v>
      </c>
      <c r="H39" s="95" t="s">
        <v>13</v>
      </c>
      <c r="I39" s="14">
        <v>22</v>
      </c>
      <c r="J39" s="14">
        <v>20</v>
      </c>
      <c r="K39" s="14">
        <v>20</v>
      </c>
      <c r="L39" s="14">
        <v>24</v>
      </c>
      <c r="M39" s="2">
        <v>37</v>
      </c>
      <c r="N39" s="126">
        <f t="shared" si="0"/>
        <v>25.7</v>
      </c>
      <c r="O39" s="1"/>
      <c r="P39" s="52">
        <v>1984</v>
      </c>
      <c r="Q39" s="84">
        <v>66</v>
      </c>
      <c r="R39" s="85">
        <v>62</v>
      </c>
      <c r="S39" s="85">
        <v>36</v>
      </c>
      <c r="T39" s="85">
        <v>21</v>
      </c>
      <c r="U39" s="85">
        <v>22</v>
      </c>
      <c r="V39" s="85">
        <v>23</v>
      </c>
      <c r="W39" s="84">
        <v>22</v>
      </c>
      <c r="X39" s="85">
        <v>23</v>
      </c>
      <c r="Y39" s="85">
        <v>23</v>
      </c>
      <c r="Z39" s="85">
        <v>22</v>
      </c>
      <c r="AA39" s="85">
        <v>22</v>
      </c>
      <c r="AB39" s="125" t="s">
        <v>13</v>
      </c>
      <c r="AC39" s="126">
        <f t="shared" si="1"/>
        <v>31.09090909090909</v>
      </c>
    </row>
    <row r="40" spans="1:29" x14ac:dyDescent="0.25">
      <c r="A40" s="52">
        <v>1985</v>
      </c>
      <c r="B40" s="14">
        <v>73.313828149060683</v>
      </c>
      <c r="C40" s="14">
        <v>74.994386647706008</v>
      </c>
      <c r="D40" s="14">
        <v>47.316652286453845</v>
      </c>
      <c r="E40" s="14">
        <v>19.433067819020287</v>
      </c>
      <c r="F40" s="14">
        <v>22.093520564544875</v>
      </c>
      <c r="G40" s="14">
        <v>22.993792950565282</v>
      </c>
      <c r="H40" s="14">
        <v>24.883738806256968</v>
      </c>
      <c r="I40" s="14">
        <v>25.769485988464091</v>
      </c>
      <c r="J40" s="14">
        <v>25.119953673064195</v>
      </c>
      <c r="K40" s="14">
        <v>25.590757920532113</v>
      </c>
      <c r="L40" s="14">
        <v>32.622832369942195</v>
      </c>
      <c r="M40" s="14">
        <v>49.501396090945356</v>
      </c>
      <c r="N40" s="14">
        <f t="shared" si="0"/>
        <v>36.969451105546334</v>
      </c>
      <c r="O40" s="1"/>
      <c r="P40" s="52">
        <v>1985</v>
      </c>
      <c r="Q40" s="85">
        <v>66</v>
      </c>
      <c r="R40" s="85">
        <v>67</v>
      </c>
      <c r="S40" s="85">
        <v>62</v>
      </c>
      <c r="T40" s="85">
        <v>19</v>
      </c>
      <c r="U40" s="85">
        <v>23</v>
      </c>
      <c r="V40" s="85">
        <v>22</v>
      </c>
      <c r="W40" s="85">
        <v>22</v>
      </c>
      <c r="X40" s="85">
        <v>22</v>
      </c>
      <c r="Y40" s="85">
        <v>22</v>
      </c>
      <c r="Z40" s="85">
        <v>23</v>
      </c>
      <c r="AA40" s="85">
        <v>30</v>
      </c>
      <c r="AB40" s="85">
        <v>47</v>
      </c>
      <c r="AC40" s="14">
        <f t="shared" si="1"/>
        <v>35.416666666666664</v>
      </c>
    </row>
    <row r="41" spans="1:29" x14ac:dyDescent="0.25">
      <c r="A41" s="52">
        <v>1986</v>
      </c>
      <c r="B41" s="14">
        <v>68.076835124628417</v>
      </c>
      <c r="C41" s="14">
        <v>78.410703425907158</v>
      </c>
      <c r="D41" s="14">
        <v>29.465059823131611</v>
      </c>
      <c r="E41" s="14">
        <v>22.670565302144247</v>
      </c>
      <c r="F41" s="14">
        <v>23.601568401741069</v>
      </c>
      <c r="G41" s="14">
        <v>22.591918098144408</v>
      </c>
      <c r="H41" s="14">
        <v>23.046912352502442</v>
      </c>
      <c r="I41" s="14">
        <v>21.852681843885481</v>
      </c>
      <c r="J41" s="14">
        <v>22.304428983539797</v>
      </c>
      <c r="K41" s="14">
        <v>24.1046658259773</v>
      </c>
      <c r="L41" s="14">
        <v>24.093086926762492</v>
      </c>
      <c r="M41" s="14">
        <v>50.957854406130267</v>
      </c>
      <c r="N41" s="14">
        <f t="shared" si="0"/>
        <v>34.264690042874562</v>
      </c>
      <c r="P41" s="52">
        <v>1986</v>
      </c>
      <c r="Q41" s="85">
        <v>68</v>
      </c>
      <c r="R41" s="85">
        <v>71</v>
      </c>
      <c r="S41" s="85">
        <v>42</v>
      </c>
      <c r="T41" s="85">
        <v>32</v>
      </c>
      <c r="U41" s="85">
        <v>24</v>
      </c>
      <c r="V41" s="85">
        <v>23</v>
      </c>
      <c r="W41" s="85">
        <v>24</v>
      </c>
      <c r="X41" s="85">
        <v>23</v>
      </c>
      <c r="Y41" s="85">
        <v>23</v>
      </c>
      <c r="Z41" s="85">
        <v>24</v>
      </c>
      <c r="AA41" s="127" t="s">
        <v>13</v>
      </c>
      <c r="AB41" s="85">
        <v>61</v>
      </c>
      <c r="AC41" s="126">
        <f t="shared" si="1"/>
        <v>37.727272727272727</v>
      </c>
    </row>
    <row r="42" spans="1:29" ht="16.5" customHeight="1" x14ac:dyDescent="0.25">
      <c r="A42" s="52">
        <v>1987</v>
      </c>
      <c r="B42" s="14">
        <v>79.619145651055078</v>
      </c>
      <c r="C42" s="14">
        <v>75.948166877370411</v>
      </c>
      <c r="D42" s="14">
        <v>58.183477863989054</v>
      </c>
      <c r="E42" s="95" t="s">
        <v>13</v>
      </c>
      <c r="F42" s="14">
        <v>24.238017078390225</v>
      </c>
      <c r="G42" s="14">
        <v>27.652655666626519</v>
      </c>
      <c r="H42" s="14">
        <v>29.473540333052366</v>
      </c>
      <c r="I42" s="14">
        <v>24.750629722921914</v>
      </c>
      <c r="J42" s="14">
        <v>27.965459140690818</v>
      </c>
      <c r="K42" s="14">
        <v>29.438473475487093</v>
      </c>
      <c r="L42" s="14">
        <v>26.277523888658084</v>
      </c>
      <c r="M42" s="95" t="s">
        <v>13</v>
      </c>
      <c r="N42" s="126">
        <f t="shared" si="0"/>
        <v>40.354708969824159</v>
      </c>
      <c r="P42" s="52">
        <v>1987</v>
      </c>
      <c r="Q42" s="14">
        <v>79</v>
      </c>
      <c r="R42" s="14">
        <v>69</v>
      </c>
      <c r="S42" s="14">
        <v>69</v>
      </c>
      <c r="T42" s="2">
        <v>18</v>
      </c>
      <c r="U42" s="14">
        <v>23</v>
      </c>
      <c r="V42" s="14">
        <v>21</v>
      </c>
      <c r="W42" s="14">
        <v>22</v>
      </c>
      <c r="X42" s="14">
        <v>23</v>
      </c>
      <c r="Y42" s="14">
        <v>23</v>
      </c>
      <c r="Z42" s="14">
        <v>24</v>
      </c>
      <c r="AA42" s="14">
        <v>27</v>
      </c>
      <c r="AB42" s="95" t="s">
        <v>13</v>
      </c>
      <c r="AC42" s="126">
        <f t="shared" si="1"/>
        <v>36.18181818181818</v>
      </c>
    </row>
    <row r="43" spans="1:29" x14ac:dyDescent="0.25">
      <c r="A43" s="52">
        <v>1988</v>
      </c>
      <c r="B43" s="97" t="s">
        <v>13</v>
      </c>
      <c r="C43" s="97" t="s">
        <v>13</v>
      </c>
      <c r="D43" s="2">
        <v>59</v>
      </c>
      <c r="E43" s="97" t="s">
        <v>13</v>
      </c>
      <c r="F43" s="97" t="s">
        <v>13</v>
      </c>
      <c r="G43" s="2">
        <v>32</v>
      </c>
      <c r="H43" s="2">
        <v>24</v>
      </c>
      <c r="I43" s="95">
        <v>28</v>
      </c>
      <c r="J43" s="95">
        <v>19</v>
      </c>
      <c r="K43" s="95">
        <v>33</v>
      </c>
      <c r="L43" s="95">
        <v>45</v>
      </c>
      <c r="M43" s="95">
        <v>47</v>
      </c>
      <c r="N43" s="126">
        <f t="shared" si="0"/>
        <v>35.875</v>
      </c>
      <c r="P43" s="52">
        <v>1988</v>
      </c>
      <c r="Q43" s="14">
        <v>28</v>
      </c>
      <c r="R43" s="15">
        <v>47</v>
      </c>
      <c r="S43" s="14">
        <v>71</v>
      </c>
      <c r="T43" s="128">
        <v>15</v>
      </c>
      <c r="U43" s="128">
        <v>23</v>
      </c>
      <c r="V43" s="128">
        <v>20</v>
      </c>
      <c r="W43" s="128">
        <v>24</v>
      </c>
      <c r="X43" s="15">
        <v>23</v>
      </c>
      <c r="Y43" s="15">
        <v>24</v>
      </c>
      <c r="Z43" s="15">
        <v>27</v>
      </c>
      <c r="AA43" s="128">
        <v>40</v>
      </c>
      <c r="AB43" s="128">
        <v>70</v>
      </c>
      <c r="AC43" s="126">
        <f t="shared" si="1"/>
        <v>34.333333333333336</v>
      </c>
    </row>
    <row r="44" spans="1:29" x14ac:dyDescent="0.25">
      <c r="A44" s="52">
        <v>1989</v>
      </c>
      <c r="B44" s="95">
        <v>14</v>
      </c>
      <c r="C44" s="2">
        <v>26</v>
      </c>
      <c r="D44" s="2">
        <v>19</v>
      </c>
      <c r="E44" s="2">
        <v>26</v>
      </c>
      <c r="F44" s="2">
        <v>26</v>
      </c>
      <c r="G44" s="2">
        <v>27</v>
      </c>
      <c r="H44" s="2">
        <v>22</v>
      </c>
      <c r="I44" s="2">
        <v>23</v>
      </c>
      <c r="J44" s="2">
        <v>21</v>
      </c>
      <c r="K44" s="2">
        <v>22</v>
      </c>
      <c r="L44" s="95">
        <v>35</v>
      </c>
      <c r="M44" s="2">
        <v>38</v>
      </c>
      <c r="N44" s="126">
        <f t="shared" si="0"/>
        <v>24.916666666666668</v>
      </c>
      <c r="P44" s="52">
        <v>1989</v>
      </c>
      <c r="Q44" s="95">
        <v>28</v>
      </c>
      <c r="R44" s="2">
        <v>20</v>
      </c>
      <c r="S44" s="2">
        <v>19</v>
      </c>
      <c r="T44" s="95">
        <v>27</v>
      </c>
      <c r="U44" s="2">
        <v>25</v>
      </c>
      <c r="V44" s="95">
        <v>24</v>
      </c>
      <c r="W44" s="2">
        <v>23</v>
      </c>
      <c r="X44" s="2">
        <v>24</v>
      </c>
      <c r="Y44" s="2">
        <v>20</v>
      </c>
      <c r="Z44" s="2">
        <v>23</v>
      </c>
      <c r="AA44" s="2">
        <v>37</v>
      </c>
      <c r="AB44" s="2">
        <v>46</v>
      </c>
      <c r="AC44" s="126">
        <f t="shared" si="1"/>
        <v>26.333333333333332</v>
      </c>
    </row>
    <row r="45" spans="1:29" x14ac:dyDescent="0.25">
      <c r="A45" s="52">
        <v>1990</v>
      </c>
      <c r="B45" s="2">
        <v>22</v>
      </c>
      <c r="C45" s="2">
        <v>26</v>
      </c>
      <c r="D45" s="2">
        <v>23</v>
      </c>
      <c r="E45" s="2">
        <v>25</v>
      </c>
      <c r="F45" s="2">
        <v>22</v>
      </c>
      <c r="G45" s="95">
        <v>26</v>
      </c>
      <c r="H45" s="2">
        <v>23</v>
      </c>
      <c r="I45" s="95">
        <v>28</v>
      </c>
      <c r="J45" s="2">
        <v>19</v>
      </c>
      <c r="K45" s="2">
        <v>18</v>
      </c>
      <c r="L45" s="95">
        <v>18</v>
      </c>
      <c r="M45" s="95">
        <v>51</v>
      </c>
      <c r="N45" s="126">
        <f t="shared" si="0"/>
        <v>25.083333333333332</v>
      </c>
      <c r="P45" s="52">
        <v>1990</v>
      </c>
      <c r="Q45" s="95">
        <v>28</v>
      </c>
      <c r="R45" s="95">
        <v>28</v>
      </c>
      <c r="S45" s="2">
        <v>25</v>
      </c>
      <c r="T45" s="2">
        <v>27</v>
      </c>
      <c r="U45" s="2">
        <v>26</v>
      </c>
      <c r="V45" s="95">
        <v>28</v>
      </c>
      <c r="W45" s="95">
        <v>29</v>
      </c>
      <c r="X45" s="95">
        <v>32</v>
      </c>
      <c r="Y45" s="95">
        <v>24</v>
      </c>
      <c r="Z45" s="95">
        <v>20</v>
      </c>
      <c r="AA45" s="95">
        <v>20</v>
      </c>
      <c r="AB45" s="95">
        <v>53</v>
      </c>
      <c r="AC45" s="126">
        <f t="shared" si="1"/>
        <v>28.333333333333332</v>
      </c>
    </row>
    <row r="46" spans="1:29" x14ac:dyDescent="0.25">
      <c r="A46" s="52">
        <v>1991</v>
      </c>
      <c r="B46" s="129">
        <v>24.233333333333299</v>
      </c>
      <c r="C46" s="129">
        <v>51.2</v>
      </c>
      <c r="D46" s="14">
        <v>24.290322580645199</v>
      </c>
      <c r="E46" s="14">
        <v>27.2</v>
      </c>
      <c r="F46" s="129">
        <v>17</v>
      </c>
      <c r="G46" s="129" t="s">
        <v>13</v>
      </c>
      <c r="H46" s="14">
        <v>26.161290322580601</v>
      </c>
      <c r="I46" s="14">
        <v>24.741935483871</v>
      </c>
      <c r="J46" s="14">
        <v>26.633333333333301</v>
      </c>
      <c r="K46" s="14">
        <v>27.4838709677419</v>
      </c>
      <c r="L46" s="14">
        <v>19.233333333333299</v>
      </c>
      <c r="M46" s="129">
        <v>29.133333333333301</v>
      </c>
      <c r="N46" s="126">
        <f t="shared" si="0"/>
        <v>27.028250244379265</v>
      </c>
      <c r="O46" s="22"/>
      <c r="P46" s="52">
        <v>1991</v>
      </c>
      <c r="Q46" s="14">
        <v>31.5161290322581</v>
      </c>
      <c r="R46" s="14">
        <v>71.821428571428598</v>
      </c>
      <c r="S46" s="14">
        <v>31.645161290322601</v>
      </c>
      <c r="T46" s="14">
        <v>21.266666666666701</v>
      </c>
      <c r="U46" s="14">
        <v>22</v>
      </c>
      <c r="V46" s="14">
        <v>20.566666666666698</v>
      </c>
      <c r="W46" s="14">
        <v>22.580645161290299</v>
      </c>
      <c r="X46" s="14">
        <v>21.806451612903199</v>
      </c>
      <c r="Y46" s="14">
        <v>19.733333333333299</v>
      </c>
      <c r="Z46" s="14">
        <v>20.064516129032299</v>
      </c>
      <c r="AA46" s="14">
        <v>22.3</v>
      </c>
      <c r="AB46" s="129">
        <v>41.5</v>
      </c>
      <c r="AC46" s="126">
        <f>AVERAGE(Q46:AB46)</f>
        <v>28.900083205325149</v>
      </c>
    </row>
    <row r="47" spans="1:29" x14ac:dyDescent="0.25">
      <c r="A47" s="52">
        <v>1992</v>
      </c>
      <c r="B47" s="130">
        <v>29.636363636363601</v>
      </c>
      <c r="C47" s="130">
        <v>21.4444444444444</v>
      </c>
      <c r="D47" s="15">
        <v>21.387096774193498</v>
      </c>
      <c r="E47" s="15">
        <v>18.633333333333301</v>
      </c>
      <c r="F47" s="130" t="s">
        <v>13</v>
      </c>
      <c r="G47" s="130" t="s">
        <v>13</v>
      </c>
      <c r="H47" s="130" t="s">
        <v>13</v>
      </c>
      <c r="I47" s="15">
        <v>18.258064516129</v>
      </c>
      <c r="J47" s="15">
        <v>22.966666666666701</v>
      </c>
      <c r="K47" s="15">
        <v>24.419354838709701</v>
      </c>
      <c r="L47" s="15">
        <v>17.933333333333302</v>
      </c>
      <c r="M47" s="15">
        <v>27.193548387096801</v>
      </c>
      <c r="N47" s="126">
        <f t="shared" si="0"/>
        <v>22.430245103363365</v>
      </c>
      <c r="O47" s="19"/>
      <c r="P47" s="52">
        <v>1992</v>
      </c>
      <c r="Q47" s="130">
        <v>30.8333333333333</v>
      </c>
      <c r="R47" s="15">
        <v>43.689655172413801</v>
      </c>
      <c r="S47" s="130">
        <v>22.068965517241399</v>
      </c>
      <c r="T47" s="130">
        <v>19</v>
      </c>
      <c r="U47" s="15">
        <v>24.193548387096801</v>
      </c>
      <c r="V47" s="15">
        <v>25.733333333333299</v>
      </c>
      <c r="W47" s="15">
        <v>23.903225806451601</v>
      </c>
      <c r="X47" s="130">
        <v>21.8333333333333</v>
      </c>
      <c r="Y47" s="15">
        <v>25</v>
      </c>
      <c r="Z47" s="15">
        <v>27.096774193548399</v>
      </c>
      <c r="AA47" s="15">
        <v>17.8</v>
      </c>
      <c r="AB47" s="130">
        <v>25.652173913043502</v>
      </c>
      <c r="AC47" s="126">
        <f t="shared" ref="AC47:AC77" si="2">AVERAGE(Q47:AB47)</f>
        <v>25.567028582482951</v>
      </c>
    </row>
    <row r="48" spans="1:29" x14ac:dyDescent="0.25">
      <c r="A48" s="52">
        <v>1993</v>
      </c>
      <c r="B48" s="130">
        <v>39.799999999999997</v>
      </c>
      <c r="C48" s="130">
        <v>49</v>
      </c>
      <c r="D48" s="15">
        <v>53.290322580645203</v>
      </c>
      <c r="E48" s="15">
        <v>27.766666666666701</v>
      </c>
      <c r="F48" s="15">
        <v>23.354838709677399</v>
      </c>
      <c r="G48" s="15">
        <v>24.933333333333302</v>
      </c>
      <c r="H48" s="15">
        <v>24.387096774193498</v>
      </c>
      <c r="I48" s="15">
        <v>26.2258064516129</v>
      </c>
      <c r="J48" s="15">
        <v>22.3</v>
      </c>
      <c r="K48" s="15">
        <v>23.612903225806502</v>
      </c>
      <c r="L48" s="130" t="s">
        <v>13</v>
      </c>
      <c r="M48" s="130">
        <v>54.344827586206897</v>
      </c>
      <c r="N48" s="126">
        <f t="shared" si="0"/>
        <v>33.54689048437659</v>
      </c>
      <c r="P48" s="52">
        <v>1993</v>
      </c>
      <c r="Q48" s="130">
        <v>36.433333333333302</v>
      </c>
      <c r="R48" s="130">
        <v>47.481481481481502</v>
      </c>
      <c r="S48" s="15">
        <v>45.9677419354839</v>
      </c>
      <c r="T48" s="15">
        <v>17.766666666666701</v>
      </c>
      <c r="U48" s="15">
        <v>19.806451612903199</v>
      </c>
      <c r="V48" s="15">
        <v>19.133333333333301</v>
      </c>
      <c r="W48" s="15">
        <v>19.161290322580601</v>
      </c>
      <c r="X48" s="15">
        <v>20.322580645161299</v>
      </c>
      <c r="Y48" s="15">
        <v>19.266666666666701</v>
      </c>
      <c r="Z48" s="15">
        <v>17.645161290322601</v>
      </c>
      <c r="AA48" s="15">
        <v>39.133333333333297</v>
      </c>
      <c r="AB48" s="15">
        <v>67.580645161290306</v>
      </c>
      <c r="AC48" s="126">
        <f t="shared" si="2"/>
        <v>30.808223815213065</v>
      </c>
    </row>
    <row r="49" spans="1:29" x14ac:dyDescent="0.25">
      <c r="A49" s="52">
        <v>1994</v>
      </c>
      <c r="B49" s="97" t="s">
        <v>13</v>
      </c>
      <c r="C49" s="97" t="s">
        <v>13</v>
      </c>
      <c r="D49" s="97" t="s">
        <v>13</v>
      </c>
      <c r="E49" s="97" t="s">
        <v>13</v>
      </c>
      <c r="F49" s="97" t="s">
        <v>13</v>
      </c>
      <c r="G49" s="97" t="s">
        <v>13</v>
      </c>
      <c r="H49" s="97" t="s">
        <v>13</v>
      </c>
      <c r="I49" s="97" t="s">
        <v>13</v>
      </c>
      <c r="J49" s="15">
        <v>26.1666666666667</v>
      </c>
      <c r="K49" s="130" t="s">
        <v>13</v>
      </c>
      <c r="L49" s="130">
        <v>25.3333333333333</v>
      </c>
      <c r="M49" s="130">
        <v>35.6</v>
      </c>
      <c r="N49" s="126">
        <f t="shared" si="0"/>
        <v>29.033333333333331</v>
      </c>
      <c r="O49" s="19"/>
      <c r="P49" s="52">
        <v>1994</v>
      </c>
      <c r="Q49" s="98" t="s">
        <v>13</v>
      </c>
      <c r="R49" s="98" t="s">
        <v>13</v>
      </c>
      <c r="S49" s="98" t="s">
        <v>13</v>
      </c>
      <c r="T49" s="98" t="s">
        <v>13</v>
      </c>
      <c r="U49" s="98" t="s">
        <v>13</v>
      </c>
      <c r="V49" s="98" t="s">
        <v>13</v>
      </c>
      <c r="W49" s="98" t="s">
        <v>13</v>
      </c>
      <c r="X49" s="98" t="s">
        <v>13</v>
      </c>
      <c r="Y49" s="98" t="s">
        <v>13</v>
      </c>
      <c r="Z49" s="15">
        <v>22.0322580645161</v>
      </c>
      <c r="AA49" s="130">
        <v>19.346153846153801</v>
      </c>
      <c r="AB49" s="128">
        <v>37.068965517241402</v>
      </c>
      <c r="AC49" s="126">
        <f t="shared" si="2"/>
        <v>26.149125809303769</v>
      </c>
    </row>
    <row r="50" spans="1:29" x14ac:dyDescent="0.25">
      <c r="A50" s="52">
        <v>1995</v>
      </c>
      <c r="B50" s="15">
        <v>47.354838709677402</v>
      </c>
      <c r="C50" s="15">
        <v>28.178571428571399</v>
      </c>
      <c r="D50" s="15">
        <v>18.903225806451601</v>
      </c>
      <c r="E50" s="130">
        <v>21.2068965517241</v>
      </c>
      <c r="F50" s="130">
        <v>24.1428571428571</v>
      </c>
      <c r="G50" s="130" t="s">
        <v>13</v>
      </c>
      <c r="H50" s="130" t="s">
        <v>13</v>
      </c>
      <c r="I50" s="130" t="s">
        <v>13</v>
      </c>
      <c r="J50" s="130">
        <v>20.192307692307701</v>
      </c>
      <c r="K50" s="15">
        <v>21.354838709677399</v>
      </c>
      <c r="L50" s="130">
        <v>40.727272727272698</v>
      </c>
      <c r="M50" s="130" t="s">
        <v>13</v>
      </c>
      <c r="N50" s="126">
        <f t="shared" si="0"/>
        <v>27.757601096067425</v>
      </c>
      <c r="O50" s="19"/>
      <c r="P50" s="52">
        <v>1995</v>
      </c>
      <c r="Q50" s="15">
        <v>56.9677419354839</v>
      </c>
      <c r="R50" s="15">
        <v>31.285714285714299</v>
      </c>
      <c r="S50" s="130">
        <v>19.266666666666701</v>
      </c>
      <c r="T50" s="15">
        <v>19.433333333333302</v>
      </c>
      <c r="U50" s="15">
        <v>20.935483870967701</v>
      </c>
      <c r="V50" s="15">
        <v>23.033333333333299</v>
      </c>
      <c r="W50" s="15">
        <v>24.258064516129</v>
      </c>
      <c r="X50" s="15">
        <v>23.548387096774199</v>
      </c>
      <c r="Y50" s="15">
        <v>23.733333333333299</v>
      </c>
      <c r="Z50" s="15">
        <v>24.7741935483871</v>
      </c>
      <c r="AA50" s="130">
        <v>32.7931034482759</v>
      </c>
      <c r="AB50" s="15">
        <v>53.580645161290299</v>
      </c>
      <c r="AC50" s="126">
        <f t="shared" si="2"/>
        <v>29.467500044140749</v>
      </c>
    </row>
    <row r="51" spans="1:29" x14ac:dyDescent="0.25">
      <c r="A51" s="52">
        <v>1996</v>
      </c>
      <c r="B51" s="130">
        <v>47.2222222222222</v>
      </c>
      <c r="C51" s="15">
        <v>56.2068965517241</v>
      </c>
      <c r="D51" s="15">
        <v>72.225806451612897</v>
      </c>
      <c r="E51" s="130">
        <v>27.551724137931</v>
      </c>
      <c r="F51" s="130">
        <v>24.3571428571429</v>
      </c>
      <c r="G51" s="15">
        <v>25.9</v>
      </c>
      <c r="H51" s="15">
        <v>24.387096774193498</v>
      </c>
      <c r="I51" s="15">
        <v>23.193548387096801</v>
      </c>
      <c r="J51" s="15">
        <v>25.766666666666701</v>
      </c>
      <c r="K51" s="130" t="s">
        <v>13</v>
      </c>
      <c r="L51" s="130" t="s">
        <v>13</v>
      </c>
      <c r="M51" s="130">
        <v>66.909090909090907</v>
      </c>
      <c r="N51" s="126">
        <f t="shared" si="0"/>
        <v>39.3720194957681</v>
      </c>
      <c r="P51" s="52">
        <v>1996</v>
      </c>
      <c r="Q51" s="15">
        <v>76.774193548387103</v>
      </c>
      <c r="R51" s="15">
        <v>81.620689655172399</v>
      </c>
      <c r="S51" s="15">
        <v>73.741935483871003</v>
      </c>
      <c r="T51" s="130">
        <v>43.310344827586199</v>
      </c>
      <c r="U51" s="15">
        <v>22.2258064516129</v>
      </c>
      <c r="V51" s="15">
        <v>26.733333333333299</v>
      </c>
      <c r="W51" s="15">
        <v>28</v>
      </c>
      <c r="X51" s="15">
        <v>24.838709677419399</v>
      </c>
      <c r="Y51" s="15">
        <v>27.366666666666699</v>
      </c>
      <c r="Z51" s="15">
        <v>24.0322580645161</v>
      </c>
      <c r="AA51" s="130">
        <v>27.551724137931</v>
      </c>
      <c r="AB51" s="15">
        <v>56.4838709677419</v>
      </c>
      <c r="AC51" s="126">
        <f t="shared" si="2"/>
        <v>42.7232944011865</v>
      </c>
    </row>
    <row r="52" spans="1:29" x14ac:dyDescent="0.25">
      <c r="A52" s="52">
        <v>1997</v>
      </c>
      <c r="B52" s="130" t="s">
        <v>13</v>
      </c>
      <c r="C52" s="130">
        <v>40.625</v>
      </c>
      <c r="D52" s="15">
        <v>33.129032258064498</v>
      </c>
      <c r="E52" s="15">
        <v>23.566666666666698</v>
      </c>
      <c r="F52" s="15">
        <v>24.612903225806502</v>
      </c>
      <c r="G52" s="130">
        <v>25.928571428571399</v>
      </c>
      <c r="H52" s="130">
        <v>25.1666666666667</v>
      </c>
      <c r="I52" s="15">
        <v>24.322580645161299</v>
      </c>
      <c r="J52" s="130">
        <v>22.7931034482759</v>
      </c>
      <c r="K52" s="130">
        <v>26.066666666666698</v>
      </c>
      <c r="L52" s="130">
        <v>30.2</v>
      </c>
      <c r="M52" s="130">
        <v>49.1666666666667</v>
      </c>
      <c r="N52" s="126">
        <f t="shared" si="0"/>
        <v>29.597987061140586</v>
      </c>
      <c r="O52" s="19"/>
      <c r="P52" s="52">
        <v>1997</v>
      </c>
      <c r="Q52" s="15">
        <v>64.838709677419402</v>
      </c>
      <c r="R52" s="15">
        <v>51.428571428571402</v>
      </c>
      <c r="S52" s="15">
        <v>28.709677419354801</v>
      </c>
      <c r="T52" s="15">
        <v>22.1666666666667</v>
      </c>
      <c r="U52" s="15">
        <v>23.096774193548399</v>
      </c>
      <c r="V52" s="15">
        <v>27.766666666666701</v>
      </c>
      <c r="W52" s="15">
        <v>25.9677419354839</v>
      </c>
      <c r="X52" s="15">
        <v>24.354838709677399</v>
      </c>
      <c r="Y52" s="15">
        <v>22.866666666666699</v>
      </c>
      <c r="Z52" s="15">
        <v>20.9677419354839</v>
      </c>
      <c r="AA52" s="130">
        <v>20.185185185185201</v>
      </c>
      <c r="AB52" s="130">
        <v>57.275862068965502</v>
      </c>
      <c r="AC52" s="126">
        <f t="shared" si="2"/>
        <v>32.468758546140833</v>
      </c>
    </row>
    <row r="53" spans="1:29" x14ac:dyDescent="0.25">
      <c r="A53" s="52">
        <v>1998</v>
      </c>
      <c r="B53" s="130">
        <v>31.56</v>
      </c>
      <c r="C53" s="130">
        <v>40.086956521739097</v>
      </c>
      <c r="D53" s="130">
        <v>27.8333333333333</v>
      </c>
      <c r="E53" s="130">
        <v>25</v>
      </c>
      <c r="F53" s="130">
        <v>20.733333333333299</v>
      </c>
      <c r="G53" s="15">
        <v>23.9</v>
      </c>
      <c r="H53" s="130">
        <v>20.038461538461501</v>
      </c>
      <c r="I53" s="130">
        <v>21.384615384615401</v>
      </c>
      <c r="J53" s="130">
        <v>20.076923076923102</v>
      </c>
      <c r="K53" s="130">
        <v>22.862068965517199</v>
      </c>
      <c r="L53" s="130">
        <v>54.076923076923102</v>
      </c>
      <c r="M53" s="130">
        <v>31.3571428571429</v>
      </c>
      <c r="N53" s="126">
        <f t="shared" si="0"/>
        <v>28.242479840665741</v>
      </c>
      <c r="O53" s="19"/>
      <c r="P53" s="52">
        <v>1998</v>
      </c>
      <c r="Q53" s="130">
        <v>38.956521739130402</v>
      </c>
      <c r="R53" s="130">
        <v>39.076923076923102</v>
      </c>
      <c r="S53" s="15">
        <v>34.838709677419303</v>
      </c>
      <c r="T53" s="15">
        <v>25.5</v>
      </c>
      <c r="U53" s="15">
        <v>26.7741935483871</v>
      </c>
      <c r="V53" s="15">
        <v>24.8333333333333</v>
      </c>
      <c r="W53" s="15">
        <v>24.419354838709701</v>
      </c>
      <c r="X53" s="15">
        <v>25.645161290322601</v>
      </c>
      <c r="Y53" s="15">
        <v>23.1</v>
      </c>
      <c r="Z53" s="15">
        <v>22</v>
      </c>
      <c r="AA53" s="15">
        <v>50.6</v>
      </c>
      <c r="AB53" s="15">
        <v>59.064516129032299</v>
      </c>
      <c r="AC53" s="126">
        <f t="shared" si="2"/>
        <v>32.900726136104815</v>
      </c>
    </row>
    <row r="54" spans="1:29" x14ac:dyDescent="0.25">
      <c r="A54" s="52">
        <v>1999</v>
      </c>
      <c r="B54" s="130">
        <v>13.7222222222222</v>
      </c>
      <c r="C54" s="15">
        <v>33.642857142857103</v>
      </c>
      <c r="D54" s="130">
        <v>27.464285714285701</v>
      </c>
      <c r="E54" s="15">
        <v>21.6</v>
      </c>
      <c r="F54" s="15">
        <v>22.290322580645199</v>
      </c>
      <c r="G54" s="130">
        <v>22.3571428571429</v>
      </c>
      <c r="H54" s="130">
        <v>23.269230769230798</v>
      </c>
      <c r="I54" s="130">
        <v>20.481481481481499</v>
      </c>
      <c r="J54" s="15">
        <v>26.633333333333301</v>
      </c>
      <c r="K54" s="130">
        <v>24.066666666666698</v>
      </c>
      <c r="L54" s="130">
        <v>36.034482758620697</v>
      </c>
      <c r="M54" s="130">
        <v>59.0833333333333</v>
      </c>
      <c r="N54" s="126">
        <f t="shared" si="0"/>
        <v>27.55377990498495</v>
      </c>
      <c r="O54" s="19"/>
      <c r="P54" s="52">
        <v>1999</v>
      </c>
      <c r="Q54" s="130">
        <v>51.866666666666703</v>
      </c>
      <c r="R54" s="130">
        <v>73.5555555555556</v>
      </c>
      <c r="S54" s="15">
        <v>40.258064516128997</v>
      </c>
      <c r="T54" s="15">
        <v>21.033333333333299</v>
      </c>
      <c r="U54" s="15">
        <v>26.451612903225801</v>
      </c>
      <c r="V54" s="15">
        <v>25.5</v>
      </c>
      <c r="W54" s="15">
        <v>25.612903225806502</v>
      </c>
      <c r="X54" s="15">
        <v>25.354838709677399</v>
      </c>
      <c r="Y54" s="15">
        <v>22.766666666666701</v>
      </c>
      <c r="Z54" s="15">
        <v>19.709677419354801</v>
      </c>
      <c r="AA54" s="130">
        <v>35.241379310344797</v>
      </c>
      <c r="AB54" s="15">
        <v>44.5161290322581</v>
      </c>
      <c r="AC54" s="126">
        <f t="shared" si="2"/>
        <v>34.322235611584894</v>
      </c>
    </row>
    <row r="55" spans="1:29" x14ac:dyDescent="0.25">
      <c r="A55" s="52">
        <v>2000</v>
      </c>
      <c r="B55" s="130" t="s">
        <v>13</v>
      </c>
      <c r="C55" s="130">
        <v>30.6</v>
      </c>
      <c r="D55" s="15">
        <v>29.935483870967701</v>
      </c>
      <c r="E55" s="15">
        <v>25.766666666666701</v>
      </c>
      <c r="F55" s="130">
        <v>21.033333333333299</v>
      </c>
      <c r="G55" s="130">
        <v>23.6428571428571</v>
      </c>
      <c r="H55" s="15">
        <v>28.096774193548399</v>
      </c>
      <c r="I55" s="15">
        <v>26.2258064516129</v>
      </c>
      <c r="J55" s="130">
        <v>22.434782608695699</v>
      </c>
      <c r="K55" s="130">
        <v>32.6</v>
      </c>
      <c r="L55" s="130">
        <v>28.05</v>
      </c>
      <c r="M55" s="130">
        <v>37.08</v>
      </c>
      <c r="N55" s="126">
        <f t="shared" si="0"/>
        <v>27.76960947888016</v>
      </c>
      <c r="P55" s="52">
        <v>2000</v>
      </c>
      <c r="Q55" s="15">
        <v>53.290322580645203</v>
      </c>
      <c r="R55" s="15">
        <v>29.689655172413801</v>
      </c>
      <c r="S55" s="15">
        <v>23.677419354838701</v>
      </c>
      <c r="T55" s="15">
        <v>22</v>
      </c>
      <c r="U55" s="15">
        <v>24.290322580645199</v>
      </c>
      <c r="V55" s="15">
        <v>22.5</v>
      </c>
      <c r="W55" s="15">
        <v>24.5161290322581</v>
      </c>
      <c r="X55" s="15">
        <v>27.2258064516129</v>
      </c>
      <c r="Y55" s="15">
        <v>29.2</v>
      </c>
      <c r="Z55" s="15">
        <v>26.580645161290299</v>
      </c>
      <c r="AA55" s="130">
        <v>33.571428571428598</v>
      </c>
      <c r="AB55" s="130">
        <v>47.88</v>
      </c>
      <c r="AC55" s="126">
        <f t="shared" si="2"/>
        <v>30.36847740876107</v>
      </c>
    </row>
    <row r="56" spans="1:29" x14ac:dyDescent="0.25">
      <c r="A56" s="52">
        <v>2001</v>
      </c>
      <c r="B56" s="130">
        <v>32.2068965517241</v>
      </c>
      <c r="C56" s="15">
        <v>37.535714285714299</v>
      </c>
      <c r="D56" s="15">
        <v>39.129032258064498</v>
      </c>
      <c r="E56" s="15">
        <v>27.266666666666701</v>
      </c>
      <c r="F56" s="15">
        <v>26.193548387096801</v>
      </c>
      <c r="G56" s="15">
        <v>29.2</v>
      </c>
      <c r="H56" s="15">
        <v>28.0322580645161</v>
      </c>
      <c r="I56" s="15">
        <v>26.096774193548399</v>
      </c>
      <c r="J56" s="130">
        <v>29.5</v>
      </c>
      <c r="K56" s="15">
        <v>27.387096774193498</v>
      </c>
      <c r="L56" s="15">
        <v>38.533333333333303</v>
      </c>
      <c r="M56" s="130">
        <v>45.586206896551701</v>
      </c>
      <c r="N56" s="126">
        <f t="shared" si="0"/>
        <v>32.222293950950778</v>
      </c>
      <c r="P56" s="52">
        <v>2001</v>
      </c>
      <c r="Q56" s="130">
        <v>46.633333333333297</v>
      </c>
      <c r="R56" s="15">
        <v>53.714285714285701</v>
      </c>
      <c r="S56" s="130">
        <v>54.7</v>
      </c>
      <c r="T56" s="15">
        <v>26.733333333333299</v>
      </c>
      <c r="U56" s="15">
        <v>26.838709677419399</v>
      </c>
      <c r="V56" s="15">
        <v>24.266666666666701</v>
      </c>
      <c r="W56" s="15">
        <v>24.677419354838701</v>
      </c>
      <c r="X56" s="15">
        <v>28.677419354838701</v>
      </c>
      <c r="Y56" s="15">
        <v>27.533333333333299</v>
      </c>
      <c r="Z56" s="15">
        <v>27.612903225806399</v>
      </c>
      <c r="AA56" s="15">
        <v>34.733333333333299</v>
      </c>
      <c r="AB56" s="15">
        <v>64.935483870967801</v>
      </c>
      <c r="AC56" s="126">
        <f t="shared" si="2"/>
        <v>36.754685099846384</v>
      </c>
    </row>
    <row r="57" spans="1:29" x14ac:dyDescent="0.25">
      <c r="A57" s="52">
        <v>2002</v>
      </c>
      <c r="B57" s="15">
        <v>43.096774193548399</v>
      </c>
      <c r="C57" s="15">
        <v>39.142857142857103</v>
      </c>
      <c r="D57" s="15">
        <v>34.322580645161302</v>
      </c>
      <c r="E57" s="130">
        <v>26.153846153846199</v>
      </c>
      <c r="F57" s="130">
        <v>23.956521739130402</v>
      </c>
      <c r="G57" s="15">
        <v>23</v>
      </c>
      <c r="H57" s="130">
        <v>24.321428571428601</v>
      </c>
      <c r="I57" s="15">
        <v>24.5161290322581</v>
      </c>
      <c r="J57" s="15">
        <v>24.3333333333333</v>
      </c>
      <c r="K57" s="15">
        <v>27.451612903225801</v>
      </c>
      <c r="L57" s="15">
        <v>40.133333333333297</v>
      </c>
      <c r="M57" s="130">
        <v>64.241379310344797</v>
      </c>
      <c r="N57" s="126">
        <f t="shared" si="0"/>
        <v>32.889149696538936</v>
      </c>
      <c r="O57" s="19"/>
      <c r="P57" s="52">
        <v>2002</v>
      </c>
      <c r="Q57" s="130">
        <v>69.033333333333303</v>
      </c>
      <c r="R57" s="15">
        <v>35.285714285714299</v>
      </c>
      <c r="S57" s="15">
        <v>20.903225806451601</v>
      </c>
      <c r="T57" s="15">
        <v>22.133333333333301</v>
      </c>
      <c r="U57" s="15">
        <v>22.935483870967701</v>
      </c>
      <c r="V57" s="15">
        <v>21.033333333333299</v>
      </c>
      <c r="W57" s="15">
        <v>21.258064516129</v>
      </c>
      <c r="X57" s="15">
        <v>19.870967741935502</v>
      </c>
      <c r="Y57" s="15">
        <v>19.533333333333299</v>
      </c>
      <c r="Z57" s="15">
        <v>17.806451612903199</v>
      </c>
      <c r="AA57" s="15">
        <v>24.433333333333302</v>
      </c>
      <c r="AB57" s="15">
        <v>65.548387096774206</v>
      </c>
      <c r="AC57" s="14">
        <f t="shared" si="2"/>
        <v>29.981246799795169</v>
      </c>
    </row>
    <row r="58" spans="1:29" x14ac:dyDescent="0.25">
      <c r="A58" s="52">
        <v>2003</v>
      </c>
      <c r="B58" s="15">
        <v>47.451612903225801</v>
      </c>
      <c r="C58" s="130" t="s">
        <v>13</v>
      </c>
      <c r="D58" s="130" t="s">
        <v>13</v>
      </c>
      <c r="E58" s="130" t="s">
        <v>13</v>
      </c>
      <c r="F58" s="130" t="s">
        <v>13</v>
      </c>
      <c r="G58" s="130" t="s">
        <v>13</v>
      </c>
      <c r="H58" s="130" t="s">
        <v>13</v>
      </c>
      <c r="I58" s="130" t="s">
        <v>13</v>
      </c>
      <c r="J58" s="130" t="s">
        <v>13</v>
      </c>
      <c r="K58" s="130" t="s">
        <v>13</v>
      </c>
      <c r="L58" s="130" t="s">
        <v>13</v>
      </c>
      <c r="M58" s="130" t="s">
        <v>13</v>
      </c>
      <c r="N58" s="126">
        <f t="shared" si="0"/>
        <v>47.451612903225801</v>
      </c>
      <c r="P58" s="52">
        <v>2003</v>
      </c>
      <c r="Q58" s="15">
        <v>49.225806451612897</v>
      </c>
      <c r="R58" s="15">
        <v>68.791021359069703</v>
      </c>
      <c r="S58" s="15">
        <v>36.557534541104701</v>
      </c>
      <c r="T58" s="15">
        <v>24.0590923076875</v>
      </c>
      <c r="U58" s="15">
        <v>20.490805165816599</v>
      </c>
      <c r="V58" s="15">
        <v>21.402695766610599</v>
      </c>
      <c r="W58" s="15">
        <v>19.772618826662399</v>
      </c>
      <c r="X58" s="15">
        <v>20.805532929745802</v>
      </c>
      <c r="Y58" s="15">
        <v>22.4109515429708</v>
      </c>
      <c r="Z58" s="15">
        <v>25.823778902296201</v>
      </c>
      <c r="AA58" s="15">
        <v>19.245959879284399</v>
      </c>
      <c r="AB58" s="15">
        <v>29.527020812769798</v>
      </c>
      <c r="AC58" s="14">
        <f t="shared" si="2"/>
        <v>29.842734873802623</v>
      </c>
    </row>
    <row r="59" spans="1:29" x14ac:dyDescent="0.25">
      <c r="A59" s="52">
        <v>2004</v>
      </c>
      <c r="B59" s="130" t="s">
        <v>13</v>
      </c>
      <c r="C59" s="15">
        <v>38.972508245722501</v>
      </c>
      <c r="D59" s="15">
        <v>28.664906386176501</v>
      </c>
      <c r="E59" s="15">
        <v>22.599031084656101</v>
      </c>
      <c r="F59" s="15">
        <v>23.1332353505919</v>
      </c>
      <c r="G59" s="15">
        <v>22.524909222948398</v>
      </c>
      <c r="H59" s="15">
        <v>22.701409547073801</v>
      </c>
      <c r="I59" s="15">
        <v>22.426663259389802</v>
      </c>
      <c r="J59" s="130">
        <v>23.061281630247201</v>
      </c>
      <c r="K59" s="130">
        <v>29.7886666666667</v>
      </c>
      <c r="L59" s="15">
        <v>39.166765572390602</v>
      </c>
      <c r="M59" s="15">
        <v>36.349153012459503</v>
      </c>
      <c r="N59" s="126">
        <f t="shared" si="0"/>
        <v>28.12622999802937</v>
      </c>
      <c r="P59" s="52">
        <v>2004</v>
      </c>
      <c r="Q59" s="15">
        <v>83.8827509130453</v>
      </c>
      <c r="R59" s="15">
        <v>62.6603793559933</v>
      </c>
      <c r="S59" s="15">
        <v>35.697244942537999</v>
      </c>
      <c r="T59" s="15">
        <v>21.616705488109499</v>
      </c>
      <c r="U59" s="15">
        <v>21.9094486464017</v>
      </c>
      <c r="V59" s="15">
        <v>20.386014201608699</v>
      </c>
      <c r="W59" s="15">
        <v>23.3062262722318</v>
      </c>
      <c r="X59" s="15">
        <v>21.210604024510001</v>
      </c>
      <c r="Y59" s="15">
        <v>23.052540423911299</v>
      </c>
      <c r="Z59" s="15">
        <v>22.5664478356993</v>
      </c>
      <c r="AA59" s="15">
        <v>37.453192590515499</v>
      </c>
      <c r="AB59" s="15">
        <v>29.368484867342101</v>
      </c>
      <c r="AC59" s="14">
        <f t="shared" si="2"/>
        <v>33.592503296825548</v>
      </c>
    </row>
    <row r="60" spans="1:29" x14ac:dyDescent="0.25">
      <c r="A60" s="52">
        <v>2005</v>
      </c>
      <c r="B60" s="15">
        <v>40.880167264038199</v>
      </c>
      <c r="C60" s="15">
        <v>62.663789682539701</v>
      </c>
      <c r="D60" s="130">
        <v>50.267440298818698</v>
      </c>
      <c r="E60" s="130">
        <v>22.266205269089902</v>
      </c>
      <c r="F60" s="15">
        <v>23.067601032348399</v>
      </c>
      <c r="G60" s="15">
        <v>22.7262254901961</v>
      </c>
      <c r="H60" s="15">
        <v>21.143907523806998</v>
      </c>
      <c r="I60" s="15">
        <v>21.895508212525598</v>
      </c>
      <c r="J60" s="15">
        <v>21.422835136730399</v>
      </c>
      <c r="K60" s="15">
        <v>22.608802826651999</v>
      </c>
      <c r="L60" s="15">
        <v>30.822636559331901</v>
      </c>
      <c r="M60" s="15">
        <v>51.909309644893398</v>
      </c>
      <c r="N60" s="126">
        <f t="shared" si="0"/>
        <v>32.639535745080941</v>
      </c>
      <c r="O60" s="19"/>
      <c r="P60" s="52">
        <v>2005</v>
      </c>
      <c r="Q60" s="15">
        <v>38.5451764816234</v>
      </c>
      <c r="R60" s="15">
        <v>80.395050323736001</v>
      </c>
      <c r="S60" s="15">
        <v>73.447174266469901</v>
      </c>
      <c r="T60" s="15">
        <v>20.2929790729298</v>
      </c>
      <c r="U60" s="15">
        <v>22.9818952759172</v>
      </c>
      <c r="V60" s="15">
        <v>22.899849684649698</v>
      </c>
      <c r="W60" s="15">
        <v>21.677812115733701</v>
      </c>
      <c r="X60" s="15">
        <v>23.4129753358472</v>
      </c>
      <c r="Y60" s="15">
        <v>23.854269145296499</v>
      </c>
      <c r="Z60" s="15">
        <v>22.972444999641699</v>
      </c>
      <c r="AA60" s="15">
        <v>24.246144407683001</v>
      </c>
      <c r="AB60" s="15">
        <v>51.60978468882</v>
      </c>
      <c r="AC60" s="14">
        <f t="shared" si="2"/>
        <v>35.527962983195671</v>
      </c>
    </row>
    <row r="61" spans="1:29" x14ac:dyDescent="0.25">
      <c r="A61" s="52">
        <v>2006</v>
      </c>
      <c r="B61" s="15">
        <v>67.014828230655397</v>
      </c>
      <c r="C61" s="15">
        <v>69.236255219920295</v>
      </c>
      <c r="D61" s="15">
        <v>65.4494747171575</v>
      </c>
      <c r="E61" s="15">
        <v>21.044299514066999</v>
      </c>
      <c r="F61" s="15">
        <v>21.6534879204155</v>
      </c>
      <c r="G61" s="15">
        <v>21.069696791571602</v>
      </c>
      <c r="H61" s="15">
        <v>20.663872872093599</v>
      </c>
      <c r="I61" s="15">
        <v>17.4753249281626</v>
      </c>
      <c r="J61" s="15">
        <v>22.388086343027101</v>
      </c>
      <c r="K61" s="15">
        <v>20.0927080300455</v>
      </c>
      <c r="L61" s="15">
        <v>22.7287738214551</v>
      </c>
      <c r="M61" s="15">
        <v>16.348089442242301</v>
      </c>
      <c r="N61" s="14">
        <f t="shared" si="0"/>
        <v>32.097074819234457</v>
      </c>
      <c r="P61" s="52">
        <v>2006</v>
      </c>
      <c r="Q61" s="15">
        <v>72.096774193548399</v>
      </c>
      <c r="R61" s="15">
        <v>70.142857142857096</v>
      </c>
      <c r="S61" s="15">
        <v>58.4838709677419</v>
      </c>
      <c r="T61" s="15">
        <v>19.3</v>
      </c>
      <c r="U61" s="15">
        <v>31.9677419354839</v>
      </c>
      <c r="V61" s="15">
        <v>21.633333333333301</v>
      </c>
      <c r="W61" s="15">
        <v>20.129032258064498</v>
      </c>
      <c r="X61" s="15">
        <v>20.193548387096801</v>
      </c>
      <c r="Y61" s="15">
        <v>25.233333333333299</v>
      </c>
      <c r="Z61" s="15">
        <v>25.838709677419399</v>
      </c>
      <c r="AA61" s="15">
        <v>26.133333333333301</v>
      </c>
      <c r="AB61" s="130">
        <v>20.464285714285701</v>
      </c>
      <c r="AC61" s="126">
        <f t="shared" si="2"/>
        <v>34.301401689708136</v>
      </c>
    </row>
    <row r="62" spans="1:29" x14ac:dyDescent="0.25">
      <c r="A62" s="52">
        <v>2007</v>
      </c>
      <c r="B62" s="15">
        <v>27.4940660604545</v>
      </c>
      <c r="C62" s="15">
        <v>39.8654573839314</v>
      </c>
      <c r="D62" s="15">
        <v>20.142725889271301</v>
      </c>
      <c r="E62" s="15">
        <v>23.927715331631401</v>
      </c>
      <c r="F62" s="15">
        <v>22.266943733422298</v>
      </c>
      <c r="G62" s="15">
        <v>20.381449967970799</v>
      </c>
      <c r="H62" s="15">
        <v>20.194831463418801</v>
      </c>
      <c r="I62" s="15">
        <v>22.1632322241651</v>
      </c>
      <c r="J62" s="15">
        <v>22.4152773119175</v>
      </c>
      <c r="K62" s="15">
        <v>21.319997293433801</v>
      </c>
      <c r="L62" s="15">
        <v>25.085793101092499</v>
      </c>
      <c r="M62" s="15">
        <v>18.439906600641301</v>
      </c>
      <c r="N62" s="14">
        <f t="shared" si="0"/>
        <v>23.641449696779222</v>
      </c>
      <c r="P62" s="52">
        <v>2007</v>
      </c>
      <c r="Q62" s="15">
        <v>36.5161290322581</v>
      </c>
      <c r="R62" s="15">
        <v>76.5</v>
      </c>
      <c r="S62" s="15">
        <v>21.419354838709701</v>
      </c>
      <c r="T62" s="15">
        <v>24</v>
      </c>
      <c r="U62" s="15">
        <v>22.9677419354839</v>
      </c>
      <c r="V62" s="15">
        <v>20.933333333333302</v>
      </c>
      <c r="W62" s="15">
        <v>23.4838709677419</v>
      </c>
      <c r="X62" s="15">
        <v>21.645161290322601</v>
      </c>
      <c r="Y62" s="15">
        <v>25.233333333333299</v>
      </c>
      <c r="Z62" s="15">
        <v>24.935483870967701</v>
      </c>
      <c r="AA62" s="15">
        <v>34.9</v>
      </c>
      <c r="AB62" s="15">
        <v>21.2258064516129</v>
      </c>
      <c r="AC62" s="14">
        <f t="shared" si="2"/>
        <v>29.480017921146949</v>
      </c>
    </row>
    <row r="63" spans="1:29" x14ac:dyDescent="0.25">
      <c r="A63" s="52">
        <v>2008</v>
      </c>
      <c r="B63" s="15">
        <v>28.935483870967701</v>
      </c>
      <c r="C63" s="15">
        <v>19.551724137931</v>
      </c>
      <c r="D63" s="128">
        <v>21.6</v>
      </c>
      <c r="E63" s="15">
        <v>20.866666666666699</v>
      </c>
      <c r="F63" s="15">
        <v>22.709677419354801</v>
      </c>
      <c r="G63" s="130">
        <v>22.185185185185201</v>
      </c>
      <c r="H63" s="130">
        <v>19.413793103448299</v>
      </c>
      <c r="I63" s="15">
        <v>19.548387096774199</v>
      </c>
      <c r="J63" s="15">
        <v>21.233333333333299</v>
      </c>
      <c r="K63" s="130">
        <v>21.466666666666701</v>
      </c>
      <c r="L63" s="130">
        <v>34</v>
      </c>
      <c r="M63" s="15">
        <v>22.612903225806399</v>
      </c>
      <c r="N63" s="126">
        <f t="shared" si="0"/>
        <v>22.843651725511194</v>
      </c>
      <c r="P63" s="52">
        <v>2008</v>
      </c>
      <c r="Q63" s="15">
        <v>32.935483870967701</v>
      </c>
      <c r="R63" s="15">
        <v>23.3448275862069</v>
      </c>
      <c r="S63" s="15">
        <v>26.290322580645199</v>
      </c>
      <c r="T63" s="15">
        <v>22.3333333333333</v>
      </c>
      <c r="U63" s="15">
        <v>23.741935483871</v>
      </c>
      <c r="V63" s="15">
        <v>21.8</v>
      </c>
      <c r="W63" s="15">
        <v>21.096774193548399</v>
      </c>
      <c r="X63" s="15">
        <v>20.580645161290299</v>
      </c>
      <c r="Y63" s="15">
        <v>23</v>
      </c>
      <c r="Z63" s="15">
        <v>20.322580645161299</v>
      </c>
      <c r="AA63" s="15">
        <v>22.733333333333299</v>
      </c>
      <c r="AB63" s="15">
        <v>15.548387096774199</v>
      </c>
      <c r="AC63" s="14">
        <f t="shared" si="2"/>
        <v>22.810635273760969</v>
      </c>
    </row>
    <row r="64" spans="1:29" x14ac:dyDescent="0.25">
      <c r="A64" s="52">
        <v>2009</v>
      </c>
      <c r="B64" s="130">
        <v>34.433333333333302</v>
      </c>
      <c r="C64" s="15">
        <v>47.892857142857103</v>
      </c>
      <c r="D64" s="15">
        <v>24.451612903225801</v>
      </c>
      <c r="E64" s="15">
        <v>21.933333333333302</v>
      </c>
      <c r="F64" s="15">
        <v>22.322580645161299</v>
      </c>
      <c r="G64" s="15">
        <v>20.9</v>
      </c>
      <c r="H64" s="15">
        <v>20.354838709677399</v>
      </c>
      <c r="I64" s="15">
        <v>23.7741935483871</v>
      </c>
      <c r="J64" s="15">
        <v>21.1</v>
      </c>
      <c r="K64" s="130">
        <v>20.100000000000001</v>
      </c>
      <c r="L64" s="130">
        <v>17.586206896551701</v>
      </c>
      <c r="M64" s="15">
        <v>30.806451612903199</v>
      </c>
      <c r="N64" s="126">
        <f t="shared" si="0"/>
        <v>25.471284010452518</v>
      </c>
      <c r="P64" s="52">
        <v>2009</v>
      </c>
      <c r="Q64" s="15">
        <v>66.677419354838705</v>
      </c>
      <c r="R64" s="15">
        <v>70.821428571428598</v>
      </c>
      <c r="S64" s="15">
        <v>40.548387096774199</v>
      </c>
      <c r="T64" s="15">
        <v>19.6666666666667</v>
      </c>
      <c r="U64" s="15">
        <v>21.322580645161299</v>
      </c>
      <c r="V64" s="15">
        <v>19.533333333333299</v>
      </c>
      <c r="W64" s="15">
        <v>21</v>
      </c>
      <c r="X64" s="15">
        <v>21.387096774193498</v>
      </c>
      <c r="Y64" s="15">
        <v>21.766666666666701</v>
      </c>
      <c r="Z64" s="15">
        <v>17.451612903225801</v>
      </c>
      <c r="AA64" s="15">
        <v>16.733333333333299</v>
      </c>
      <c r="AB64" s="15">
        <v>27.0322580645161</v>
      </c>
      <c r="AC64" s="14">
        <f t="shared" si="2"/>
        <v>30.328398617511521</v>
      </c>
    </row>
    <row r="65" spans="1:29" x14ac:dyDescent="0.25">
      <c r="A65" s="52">
        <v>2010</v>
      </c>
      <c r="B65" s="15">
        <v>66.516129032258107</v>
      </c>
      <c r="C65" s="15">
        <v>72.928571428571402</v>
      </c>
      <c r="D65" s="15">
        <v>38.387096774193502</v>
      </c>
      <c r="E65" s="15">
        <v>20.133333333333301</v>
      </c>
      <c r="F65" s="15">
        <v>20.193548387096801</v>
      </c>
      <c r="G65" s="15">
        <v>20.866666666666699</v>
      </c>
      <c r="H65" s="15">
        <v>20.5161290322581</v>
      </c>
      <c r="I65" s="15">
        <v>21.4838709677419</v>
      </c>
      <c r="J65" s="15">
        <v>22.6</v>
      </c>
      <c r="K65" s="130" t="s">
        <v>13</v>
      </c>
      <c r="L65" s="130">
        <v>22.928571428571399</v>
      </c>
      <c r="M65" s="130">
        <v>61.230769230769198</v>
      </c>
      <c r="N65" s="126">
        <f t="shared" si="0"/>
        <v>35.253153298314579</v>
      </c>
      <c r="P65" s="52">
        <v>2010</v>
      </c>
      <c r="Q65" s="15">
        <v>73.354838709677395</v>
      </c>
      <c r="R65" s="15">
        <v>75.785714285714306</v>
      </c>
      <c r="S65" s="15">
        <v>51.612903225806498</v>
      </c>
      <c r="T65" s="15">
        <v>18.266666666666701</v>
      </c>
      <c r="U65" s="15">
        <v>21.4838709677419</v>
      </c>
      <c r="V65" s="15">
        <v>20.2</v>
      </c>
      <c r="W65" s="15">
        <v>20.612903225806502</v>
      </c>
      <c r="X65" s="15">
        <v>23.129032258064498</v>
      </c>
      <c r="Y65" s="15">
        <v>20.3333333333333</v>
      </c>
      <c r="Z65" s="15">
        <v>21.741935483871</v>
      </c>
      <c r="AA65" s="130">
        <v>18.2068965517241</v>
      </c>
      <c r="AB65" s="15">
        <v>74.612903225806505</v>
      </c>
      <c r="AC65" s="126">
        <f t="shared" si="2"/>
        <v>36.611749827851064</v>
      </c>
    </row>
    <row r="66" spans="1:29" x14ac:dyDescent="0.25">
      <c r="A66" s="52">
        <v>2011</v>
      </c>
      <c r="B66" s="130">
        <v>71.592592592592595</v>
      </c>
      <c r="C66" s="15">
        <v>53.785714285714299</v>
      </c>
      <c r="D66" s="15">
        <v>23.5161290322581</v>
      </c>
      <c r="E66" s="15">
        <v>20</v>
      </c>
      <c r="F66" s="15">
        <v>20.806451612903199</v>
      </c>
      <c r="G66" s="15">
        <v>20.3</v>
      </c>
      <c r="H66" s="15">
        <v>19.580645161290299</v>
      </c>
      <c r="I66" s="15">
        <v>21.387096774193498</v>
      </c>
      <c r="J66" s="15">
        <v>23.466666666666701</v>
      </c>
      <c r="K66" s="15">
        <v>25.677419354838701</v>
      </c>
      <c r="L66" s="15">
        <v>22.8</v>
      </c>
      <c r="M66" s="15">
        <v>26.838709677419399</v>
      </c>
      <c r="N66" s="126">
        <f t="shared" si="0"/>
        <v>29.145952096489737</v>
      </c>
      <c r="P66" s="52">
        <v>2011</v>
      </c>
      <c r="Q66" s="15">
        <v>71.193548387096797</v>
      </c>
      <c r="R66" s="15">
        <v>64.392857142857096</v>
      </c>
      <c r="S66" s="15">
        <v>36.838709677419402</v>
      </c>
      <c r="T66" s="15">
        <v>19.033333333333299</v>
      </c>
      <c r="U66" s="15">
        <v>22.064516129032299</v>
      </c>
      <c r="V66" s="15">
        <v>19.033333333333299</v>
      </c>
      <c r="W66" s="15">
        <v>20</v>
      </c>
      <c r="X66" s="15">
        <v>23.7741935483871</v>
      </c>
      <c r="Y66" s="130">
        <v>22.3928571428571</v>
      </c>
      <c r="Z66" s="15">
        <v>24.2258064516129</v>
      </c>
      <c r="AA66" s="15">
        <v>18</v>
      </c>
      <c r="AB66" s="15">
        <v>17.0322580645161</v>
      </c>
      <c r="AC66" s="126">
        <f t="shared" si="2"/>
        <v>29.831784434203783</v>
      </c>
    </row>
    <row r="67" spans="1:29" x14ac:dyDescent="0.25">
      <c r="A67" s="52">
        <v>2012</v>
      </c>
      <c r="B67" s="15">
        <v>47.645161290322598</v>
      </c>
      <c r="C67" s="15">
        <v>64.2068965517241</v>
      </c>
      <c r="D67" s="15">
        <v>24.645161290322601</v>
      </c>
      <c r="E67" s="15">
        <v>23.6</v>
      </c>
      <c r="F67" s="15">
        <v>22.387096774193498</v>
      </c>
      <c r="G67" s="15">
        <v>22.033333333333299</v>
      </c>
      <c r="H67" s="15">
        <v>21.419354838709701</v>
      </c>
      <c r="I67" s="15">
        <v>22.451612903225801</v>
      </c>
      <c r="J67" s="130">
        <v>23.148148148148099</v>
      </c>
      <c r="K67" s="130">
        <v>21.074074074074101</v>
      </c>
      <c r="L67" s="130">
        <v>23.148148148148099</v>
      </c>
      <c r="M67" s="15">
        <v>65.322580645161295</v>
      </c>
      <c r="N67" s="126">
        <f t="shared" si="0"/>
        <v>31.756797333113596</v>
      </c>
      <c r="P67" s="52">
        <v>2012</v>
      </c>
      <c r="Q67" s="15">
        <v>47.677419354838698</v>
      </c>
      <c r="R67" s="15">
        <v>66.172413793103502</v>
      </c>
      <c r="S67" s="15">
        <v>17.870967741935502</v>
      </c>
      <c r="T67" s="15">
        <v>25.766666666666701</v>
      </c>
      <c r="U67" s="15">
        <v>24.096774193548399</v>
      </c>
      <c r="V67" s="15">
        <v>23.233333333333299</v>
      </c>
      <c r="W67" s="15">
        <v>23.161290322580601</v>
      </c>
      <c r="X67" s="15">
        <v>22.741935483871</v>
      </c>
      <c r="Y67" s="15">
        <v>23.533333333333299</v>
      </c>
      <c r="Z67" s="15">
        <v>23.580645161290299</v>
      </c>
      <c r="AA67" s="15">
        <v>22.6666666666667</v>
      </c>
      <c r="AB67" s="15">
        <v>66.483870967741893</v>
      </c>
      <c r="AC67" s="14">
        <f t="shared" si="2"/>
        <v>32.248776418242493</v>
      </c>
    </row>
    <row r="68" spans="1:29" x14ac:dyDescent="0.25">
      <c r="A68" s="52">
        <v>2013</v>
      </c>
      <c r="B68" s="15">
        <v>57.935483870967701</v>
      </c>
      <c r="C68" s="15">
        <v>63.892857142857103</v>
      </c>
      <c r="D68" s="15">
        <v>27.612903225806399</v>
      </c>
      <c r="E68" s="15">
        <v>32.5</v>
      </c>
      <c r="F68" s="130">
        <v>21.9583333333333</v>
      </c>
      <c r="G68" s="130">
        <v>21.315789473684202</v>
      </c>
      <c r="H68" s="130" t="s">
        <v>13</v>
      </c>
      <c r="I68" s="130">
        <v>21.4444444444444</v>
      </c>
      <c r="J68" s="15">
        <v>21.5</v>
      </c>
      <c r="K68" s="15">
        <v>22.2258064516129</v>
      </c>
      <c r="L68" s="130">
        <v>22.5</v>
      </c>
      <c r="M68" s="130">
        <v>21.1</v>
      </c>
      <c r="N68" s="126">
        <f t="shared" si="0"/>
        <v>30.362328903882371</v>
      </c>
      <c r="P68" s="52">
        <v>2013</v>
      </c>
      <c r="Q68" s="130">
        <v>63.733333333333299</v>
      </c>
      <c r="R68" s="15">
        <v>68.678571428571402</v>
      </c>
      <c r="S68" s="15">
        <v>45.4838709677419</v>
      </c>
      <c r="T68" s="15">
        <v>37.799999999999997</v>
      </c>
      <c r="U68" s="15">
        <v>22.645161290322601</v>
      </c>
      <c r="V68" s="15">
        <v>21.4</v>
      </c>
      <c r="W68" s="15">
        <v>21.9677419354839</v>
      </c>
      <c r="X68" s="15">
        <v>24.741935483871</v>
      </c>
      <c r="Y68" s="15">
        <v>21.533333333333299</v>
      </c>
      <c r="Z68" s="15">
        <v>22.129032258064498</v>
      </c>
      <c r="AA68" s="15">
        <v>21.9</v>
      </c>
      <c r="AB68" s="15">
        <v>29.4838709677419</v>
      </c>
      <c r="AC68" s="126">
        <f t="shared" si="2"/>
        <v>33.458070916538645</v>
      </c>
    </row>
    <row r="69" spans="1:29" x14ac:dyDescent="0.25">
      <c r="A69" s="52">
        <v>2014</v>
      </c>
      <c r="B69" s="15">
        <v>45.225806451612897</v>
      </c>
      <c r="C69" s="15">
        <v>28.8928571428571</v>
      </c>
      <c r="D69" s="15">
        <v>23.258064516129</v>
      </c>
      <c r="E69" s="130">
        <v>22.8965517241379</v>
      </c>
      <c r="F69" s="15">
        <v>23.612903225806502</v>
      </c>
      <c r="G69" s="15">
        <v>21.6666666666667</v>
      </c>
      <c r="H69" s="15">
        <v>21</v>
      </c>
      <c r="I69" s="15">
        <v>20.7741935483871</v>
      </c>
      <c r="J69" s="15">
        <v>22</v>
      </c>
      <c r="K69" s="15">
        <v>22.096774193548399</v>
      </c>
      <c r="L69" s="130">
        <v>21.1034482758621</v>
      </c>
      <c r="M69" s="15">
        <v>25.5161290322581</v>
      </c>
      <c r="N69" s="126">
        <f t="shared" si="0"/>
        <v>24.836949564772144</v>
      </c>
      <c r="P69" s="52">
        <v>2014</v>
      </c>
      <c r="Q69" s="15">
        <v>50.290322580645203</v>
      </c>
      <c r="R69" s="15">
        <v>26.285714285714299</v>
      </c>
      <c r="S69" s="15">
        <v>20.064516129032299</v>
      </c>
      <c r="T69" s="15">
        <v>23.066666666666698</v>
      </c>
      <c r="U69" s="15">
        <v>24.387096774193498</v>
      </c>
      <c r="V69" s="15">
        <v>22.966666666666701</v>
      </c>
      <c r="W69" s="15">
        <v>22.290322580645199</v>
      </c>
      <c r="X69" s="15">
        <v>21.451612903225801</v>
      </c>
      <c r="Y69" s="15">
        <v>23.2</v>
      </c>
      <c r="Z69" s="15">
        <v>22.838709677419399</v>
      </c>
      <c r="AA69" s="15">
        <v>24.5</v>
      </c>
      <c r="AB69" s="15">
        <v>25.419354838709701</v>
      </c>
      <c r="AC69" s="14">
        <f t="shared" si="2"/>
        <v>25.563415258576565</v>
      </c>
    </row>
    <row r="70" spans="1:29" x14ac:dyDescent="0.25">
      <c r="A70" s="52">
        <v>2015</v>
      </c>
      <c r="B70" s="130">
        <v>34.733333333333299</v>
      </c>
      <c r="C70" s="15">
        <v>33.142857142857103</v>
      </c>
      <c r="D70" s="15">
        <v>23.258064516129</v>
      </c>
      <c r="E70" s="15">
        <v>21.866666666666699</v>
      </c>
      <c r="F70" s="15">
        <v>22.548387096774199</v>
      </c>
      <c r="G70" s="15">
        <v>22.4</v>
      </c>
      <c r="H70" s="15">
        <v>21.548387096774199</v>
      </c>
      <c r="I70" s="15">
        <v>22.387096774193498</v>
      </c>
      <c r="J70" s="15">
        <v>21.566666666666698</v>
      </c>
      <c r="K70" s="15">
        <v>23.709677419354801</v>
      </c>
      <c r="L70" s="15">
        <v>21.3333333333333</v>
      </c>
      <c r="M70" s="15">
        <v>22.5161290322581</v>
      </c>
      <c r="N70" s="126">
        <f t="shared" si="0"/>
        <v>24.250883256528411</v>
      </c>
      <c r="P70" s="52">
        <v>2015</v>
      </c>
      <c r="Q70" s="15">
        <v>49.548387096774199</v>
      </c>
      <c r="R70" s="15">
        <v>34.75</v>
      </c>
      <c r="S70" s="15">
        <v>21.741935483871</v>
      </c>
      <c r="T70" s="15">
        <v>20.766666666666701</v>
      </c>
      <c r="U70" s="15">
        <v>23.161290322580601</v>
      </c>
      <c r="V70" s="15">
        <v>22.133333333333301</v>
      </c>
      <c r="W70" s="15">
        <v>19.677419354838701</v>
      </c>
      <c r="X70" s="15">
        <v>21.0322580645161</v>
      </c>
      <c r="Y70" s="15">
        <v>20.399999999999999</v>
      </c>
      <c r="Z70" s="15">
        <v>21.935483870967701</v>
      </c>
      <c r="AA70" s="15">
        <v>18.866666666666699</v>
      </c>
      <c r="AB70" s="15">
        <v>23.935483870967701</v>
      </c>
      <c r="AC70" s="14">
        <f t="shared" si="2"/>
        <v>24.82907706093189</v>
      </c>
    </row>
    <row r="71" spans="1:29" x14ac:dyDescent="0.25">
      <c r="A71" s="52">
        <v>2016</v>
      </c>
      <c r="B71" s="15">
        <v>46.387096774193601</v>
      </c>
      <c r="C71" s="15">
        <v>27.241379310344801</v>
      </c>
      <c r="D71" s="15">
        <v>23.193548387096801</v>
      </c>
      <c r="E71" s="130">
        <v>22.758620689655199</v>
      </c>
      <c r="F71" s="15">
        <v>22.548387096774199</v>
      </c>
      <c r="G71" s="15">
        <v>22.266666666666701</v>
      </c>
      <c r="H71" s="15">
        <v>21.645161290322601</v>
      </c>
      <c r="I71" s="15">
        <v>22.258064516129</v>
      </c>
      <c r="J71" s="15">
        <v>23.866666666666699</v>
      </c>
      <c r="K71" s="15">
        <v>24.419354838709701</v>
      </c>
      <c r="L71" s="15">
        <v>33.766666666666701</v>
      </c>
      <c r="M71" s="15">
        <v>28.161290322580601</v>
      </c>
      <c r="N71" s="126">
        <f t="shared" si="0"/>
        <v>26.542741935483885</v>
      </c>
      <c r="P71" s="52">
        <v>2016</v>
      </c>
      <c r="Q71" s="15">
        <v>64.064516129032299</v>
      </c>
      <c r="R71" s="15">
        <v>23.275862068965498</v>
      </c>
      <c r="S71" s="15">
        <v>19.806451612903199</v>
      </c>
      <c r="T71" s="15">
        <v>19.866666666666699</v>
      </c>
      <c r="U71" s="15">
        <v>20</v>
      </c>
      <c r="V71" s="15">
        <v>18.399999999999999</v>
      </c>
      <c r="W71" s="15">
        <v>17.838709677419399</v>
      </c>
      <c r="X71" s="15">
        <v>18.612903225806502</v>
      </c>
      <c r="Y71" s="15">
        <v>19.433333333333302</v>
      </c>
      <c r="Z71" s="130">
        <v>21.625</v>
      </c>
      <c r="AA71" s="15">
        <v>31.6666666666667</v>
      </c>
      <c r="AB71" s="15">
        <v>33.903225806451601</v>
      </c>
      <c r="AC71" s="126">
        <f t="shared" si="2"/>
        <v>25.707777932270432</v>
      </c>
    </row>
    <row r="72" spans="1:29" x14ac:dyDescent="0.25">
      <c r="A72" s="52">
        <v>2017</v>
      </c>
      <c r="B72" s="15">
        <v>62.645161290322598</v>
      </c>
      <c r="C72" s="15">
        <v>32.5</v>
      </c>
      <c r="D72" s="15">
        <v>32.419354838709701</v>
      </c>
      <c r="E72" s="15">
        <v>25.1666666666667</v>
      </c>
      <c r="F72" s="15">
        <v>24.451612903225801</v>
      </c>
      <c r="G72" s="15">
        <v>22.6666666666667</v>
      </c>
      <c r="H72" s="15">
        <v>21.5161290322581</v>
      </c>
      <c r="I72" s="15">
        <v>22.419354838709701</v>
      </c>
      <c r="J72" s="15">
        <v>22.6666666666667</v>
      </c>
      <c r="K72" s="15">
        <v>23.645161290322601</v>
      </c>
      <c r="L72" s="15">
        <v>24.4</v>
      </c>
      <c r="M72" s="15">
        <v>37.451612903225801</v>
      </c>
      <c r="N72" s="14">
        <f t="shared" si="0"/>
        <v>29.32903225806453</v>
      </c>
      <c r="P72" s="52">
        <v>2017</v>
      </c>
      <c r="Q72" s="15">
        <v>51.193548387096797</v>
      </c>
      <c r="R72" s="15">
        <v>25.8571428571429</v>
      </c>
      <c r="S72" s="15">
        <v>19.354838709677399</v>
      </c>
      <c r="T72" s="130">
        <v>20.7083333333333</v>
      </c>
      <c r="U72" s="15">
        <v>20.935483870967701</v>
      </c>
      <c r="V72" s="15">
        <v>19.1666666666667</v>
      </c>
      <c r="W72" s="15">
        <v>19.903225806451601</v>
      </c>
      <c r="X72" s="15">
        <v>20.612903225806502</v>
      </c>
      <c r="Y72" s="130">
        <v>17.678571428571399</v>
      </c>
      <c r="Z72" s="15">
        <v>16.870967741935502</v>
      </c>
      <c r="AA72" s="15">
        <v>21.2</v>
      </c>
      <c r="AB72" s="15">
        <v>30.645161290322601</v>
      </c>
      <c r="AC72" s="126">
        <f t="shared" si="2"/>
        <v>23.677236943164363</v>
      </c>
    </row>
    <row r="73" spans="1:29" x14ac:dyDescent="0.25">
      <c r="A73" s="52">
        <v>2018</v>
      </c>
      <c r="B73" s="15">
        <v>43.4838709677419</v>
      </c>
      <c r="C73" s="15">
        <v>73.392857142857096</v>
      </c>
      <c r="D73" s="15">
        <v>45.387096774193601</v>
      </c>
      <c r="E73" s="130">
        <v>24.260869565217401</v>
      </c>
      <c r="F73" s="130" t="s">
        <v>13</v>
      </c>
      <c r="G73" s="15">
        <v>23.433333333333302</v>
      </c>
      <c r="H73" s="15">
        <v>19.580645161290299</v>
      </c>
      <c r="I73" s="15">
        <v>21.612903225806399</v>
      </c>
      <c r="J73" s="15">
        <v>23.1</v>
      </c>
      <c r="K73" s="15">
        <v>29.4838709677419</v>
      </c>
      <c r="L73" s="15">
        <v>36.4</v>
      </c>
      <c r="M73" s="15">
        <v>53.419354838709701</v>
      </c>
      <c r="N73" s="126">
        <f t="shared" si="0"/>
        <v>35.777709270626509</v>
      </c>
      <c r="P73" s="52">
        <v>2018</v>
      </c>
      <c r="Q73" s="15">
        <v>40.612903225806399</v>
      </c>
      <c r="R73" s="15">
        <v>61.571428571428598</v>
      </c>
      <c r="S73" s="15">
        <v>41.4838709677419</v>
      </c>
      <c r="T73" s="15">
        <v>23.133333333333301</v>
      </c>
      <c r="U73" s="15">
        <v>25.677419354838701</v>
      </c>
      <c r="V73" s="15">
        <v>21.866666666666699</v>
      </c>
      <c r="W73" s="15">
        <v>21</v>
      </c>
      <c r="X73" s="15">
        <v>21</v>
      </c>
      <c r="Y73" s="15">
        <v>23.033333333333299</v>
      </c>
      <c r="Z73" s="15">
        <v>24.5161290322581</v>
      </c>
      <c r="AA73" s="15">
        <v>17.966666666666701</v>
      </c>
      <c r="AB73" s="15">
        <v>45.806451612903203</v>
      </c>
      <c r="AC73" s="14">
        <f t="shared" si="2"/>
        <v>30.639016897081405</v>
      </c>
    </row>
    <row r="74" spans="1:29" x14ac:dyDescent="0.25">
      <c r="A74" s="52">
        <v>2019</v>
      </c>
      <c r="B74" s="15">
        <v>75.548387096774206</v>
      </c>
      <c r="C74" s="15">
        <v>45.107142857142897</v>
      </c>
      <c r="D74" s="15">
        <v>29.548387096774199</v>
      </c>
      <c r="E74" s="15">
        <v>27.1</v>
      </c>
      <c r="F74" s="15">
        <v>26.548387096774199</v>
      </c>
      <c r="G74" s="15">
        <v>24.366666666666699</v>
      </c>
      <c r="H74" s="15">
        <v>24.677419354838701</v>
      </c>
      <c r="I74" s="15">
        <v>24.806451612903199</v>
      </c>
      <c r="J74" s="15">
        <v>27.1</v>
      </c>
      <c r="K74" s="15">
        <v>29.387096774193498</v>
      </c>
      <c r="L74" s="130">
        <v>40.285714285714299</v>
      </c>
      <c r="M74" s="130" t="s">
        <v>13</v>
      </c>
      <c r="N74" s="126">
        <f t="shared" si="0"/>
        <v>34.043241167434715</v>
      </c>
      <c r="P74" s="52">
        <v>2019</v>
      </c>
      <c r="Q74" s="15">
        <v>72.483870967741893</v>
      </c>
      <c r="R74" s="15">
        <v>42.107142857142897</v>
      </c>
      <c r="S74" s="15">
        <v>22.903225806451601</v>
      </c>
      <c r="T74" s="15">
        <v>23.766666666666701</v>
      </c>
      <c r="U74" s="15">
        <v>23.5161290322581</v>
      </c>
      <c r="V74" s="15">
        <v>21.133333333333301</v>
      </c>
      <c r="W74" s="15">
        <v>21.419354838709701</v>
      </c>
      <c r="X74" s="15">
        <v>20.935483870967701</v>
      </c>
      <c r="Y74" s="15">
        <v>21.4</v>
      </c>
      <c r="Z74" s="15">
        <v>19.9677419354839</v>
      </c>
      <c r="AA74" s="15">
        <v>21.866666666666699</v>
      </c>
      <c r="AB74" s="15">
        <v>23.709677419354801</v>
      </c>
      <c r="AC74" s="14">
        <f t="shared" si="2"/>
        <v>27.934107782898106</v>
      </c>
    </row>
    <row r="75" spans="1:29" x14ac:dyDescent="0.25">
      <c r="A75" s="52">
        <v>2020</v>
      </c>
      <c r="B75" s="130" t="s">
        <v>13</v>
      </c>
      <c r="C75" s="15">
        <v>20</v>
      </c>
      <c r="D75" s="15">
        <v>23.290322580645199</v>
      </c>
      <c r="E75" s="15">
        <v>23.1666666666667</v>
      </c>
      <c r="F75" s="15">
        <v>23.0322580645161</v>
      </c>
      <c r="G75" s="15">
        <v>21.733333333333299</v>
      </c>
      <c r="H75" s="15">
        <v>21.451612903225801</v>
      </c>
      <c r="I75" s="15">
        <v>21.709677419354801</v>
      </c>
      <c r="J75" s="15">
        <v>23.1666666666667</v>
      </c>
      <c r="K75" s="15">
        <v>21.612903225806399</v>
      </c>
      <c r="L75" s="15">
        <v>18.966666666666701</v>
      </c>
      <c r="M75" s="15">
        <v>26.4838709677419</v>
      </c>
      <c r="N75" s="126">
        <f t="shared" si="0"/>
        <v>22.23763440860214</v>
      </c>
      <c r="P75" s="52">
        <v>2020</v>
      </c>
      <c r="Q75" s="130" t="s">
        <v>13</v>
      </c>
      <c r="R75" s="15">
        <v>17.482758620689701</v>
      </c>
      <c r="S75" s="15">
        <v>19.7741935483871</v>
      </c>
      <c r="T75" s="15">
        <v>22.033333333333299</v>
      </c>
      <c r="U75" s="15">
        <v>22.290322580645199</v>
      </c>
      <c r="V75" s="15">
        <v>20.766666666666701</v>
      </c>
      <c r="W75" s="15">
        <v>20.2258064516129</v>
      </c>
      <c r="X75" s="15">
        <v>20.193548387096801</v>
      </c>
      <c r="Y75" s="15">
        <v>21.733333333333299</v>
      </c>
      <c r="Z75" s="15">
        <v>20.0322580645161</v>
      </c>
      <c r="AA75" s="15">
        <v>18.266666666666701</v>
      </c>
      <c r="AB75" s="15">
        <v>22.258064516129</v>
      </c>
      <c r="AC75" s="126">
        <f t="shared" si="2"/>
        <v>20.459722924461527</v>
      </c>
    </row>
    <row r="76" spans="1:29" x14ac:dyDescent="0.25">
      <c r="A76" s="52">
        <v>2021</v>
      </c>
      <c r="B76" s="2">
        <v>58</v>
      </c>
      <c r="C76" s="2">
        <v>64</v>
      </c>
      <c r="D76" s="2">
        <v>22</v>
      </c>
      <c r="E76" s="2">
        <v>21</v>
      </c>
      <c r="F76" s="2">
        <v>23</v>
      </c>
      <c r="G76" s="95">
        <v>22</v>
      </c>
      <c r="H76" s="2">
        <v>21</v>
      </c>
      <c r="I76" s="2">
        <v>21</v>
      </c>
      <c r="J76" s="2">
        <v>23</v>
      </c>
      <c r="K76" s="2">
        <v>24</v>
      </c>
      <c r="L76" s="2">
        <v>23</v>
      </c>
      <c r="M76" s="95">
        <v>59</v>
      </c>
      <c r="N76" s="126">
        <f t="shared" si="0"/>
        <v>31.75</v>
      </c>
      <c r="P76" s="52">
        <v>2021</v>
      </c>
      <c r="Q76" s="14">
        <v>68.096774193548384</v>
      </c>
      <c r="R76" s="14">
        <v>73.107142857142861</v>
      </c>
      <c r="S76" s="14">
        <v>23.29032258064516</v>
      </c>
      <c r="T76" s="14">
        <v>20.399999999999999</v>
      </c>
      <c r="U76" s="14">
        <v>21.838709677419356</v>
      </c>
      <c r="V76" s="126">
        <v>21.607142857142858</v>
      </c>
      <c r="W76" s="14">
        <v>20.258064516129032</v>
      </c>
      <c r="X76" s="14">
        <v>20.193548387096776</v>
      </c>
      <c r="Y76" s="14">
        <v>21.166666666666668</v>
      </c>
      <c r="Z76" s="14">
        <v>22.29032258064516</v>
      </c>
      <c r="AA76" s="14">
        <v>26.366666666666667</v>
      </c>
      <c r="AB76" s="14">
        <v>62.161290322580648</v>
      </c>
      <c r="AC76" s="126">
        <f t="shared" si="2"/>
        <v>33.398054275473633</v>
      </c>
    </row>
    <row r="77" spans="1:29" x14ac:dyDescent="0.25">
      <c r="A77" s="52">
        <v>2022</v>
      </c>
      <c r="B77" s="2">
        <v>39</v>
      </c>
      <c r="C77" s="2">
        <v>28</v>
      </c>
      <c r="D77" s="2">
        <v>23</v>
      </c>
      <c r="E77" s="2">
        <v>22</v>
      </c>
      <c r="F77" s="2">
        <v>22</v>
      </c>
      <c r="G77" s="95">
        <v>22</v>
      </c>
      <c r="H77" s="2">
        <v>23</v>
      </c>
      <c r="I77" s="2">
        <v>23</v>
      </c>
      <c r="J77" s="2">
        <v>22</v>
      </c>
      <c r="K77" s="2">
        <v>22</v>
      </c>
      <c r="L77" s="2">
        <v>31</v>
      </c>
      <c r="M77" s="95">
        <v>57</v>
      </c>
      <c r="N77" s="126">
        <f t="shared" si="0"/>
        <v>27.833333333333332</v>
      </c>
      <c r="P77" s="52">
        <v>2022</v>
      </c>
      <c r="Q77" s="14">
        <v>36.612903225806448</v>
      </c>
      <c r="R77" s="14">
        <v>33.5</v>
      </c>
      <c r="S77" s="14">
        <v>25.161290322580644</v>
      </c>
      <c r="T77" s="14">
        <v>22.733333333333334</v>
      </c>
      <c r="U77" s="14">
        <v>22.419354838709676</v>
      </c>
      <c r="V77" s="126">
        <v>20.896551724137932</v>
      </c>
      <c r="W77" s="14">
        <v>20.838709677419356</v>
      </c>
      <c r="X77" s="14">
        <v>20.64516129032258</v>
      </c>
      <c r="Y77" s="14">
        <v>19.666666666666668</v>
      </c>
      <c r="Z77" s="126">
        <v>22</v>
      </c>
      <c r="AA77" s="14">
        <v>36</v>
      </c>
      <c r="AB77" s="14">
        <v>59</v>
      </c>
      <c r="AC77" s="126">
        <f t="shared" si="2"/>
        <v>28.289497589914721</v>
      </c>
    </row>
    <row r="78" spans="1:29" x14ac:dyDescent="0.25">
      <c r="A78" s="52">
        <v>2023</v>
      </c>
      <c r="B78" s="2">
        <v>38</v>
      </c>
      <c r="C78" s="2">
        <v>22</v>
      </c>
      <c r="D78" s="2">
        <v>35</v>
      </c>
      <c r="E78" s="2">
        <v>22</v>
      </c>
      <c r="F78" s="2">
        <v>24</v>
      </c>
      <c r="G78" s="2">
        <v>23</v>
      </c>
      <c r="H78" s="2">
        <v>23</v>
      </c>
      <c r="I78" s="2">
        <v>24</v>
      </c>
      <c r="J78" s="2">
        <v>25</v>
      </c>
      <c r="K78" s="2">
        <v>25</v>
      </c>
      <c r="L78" s="2">
        <v>29</v>
      </c>
      <c r="M78" s="95">
        <v>52</v>
      </c>
      <c r="N78" s="126">
        <f>AVERAGE(B78:M78)</f>
        <v>28.5</v>
      </c>
      <c r="P78" s="52">
        <v>2023</v>
      </c>
      <c r="Q78" s="2">
        <v>34</v>
      </c>
      <c r="R78" s="2">
        <v>22</v>
      </c>
      <c r="S78" s="2">
        <v>28</v>
      </c>
      <c r="T78" s="2">
        <v>20</v>
      </c>
      <c r="U78" s="2">
        <v>22</v>
      </c>
      <c r="V78" s="2">
        <v>22</v>
      </c>
      <c r="W78" s="2">
        <v>20</v>
      </c>
      <c r="X78" s="2">
        <v>19</v>
      </c>
      <c r="Y78" s="2">
        <v>21</v>
      </c>
      <c r="Z78" s="2">
        <v>20</v>
      </c>
      <c r="AA78" s="2">
        <v>24</v>
      </c>
      <c r="AB78" s="2">
        <v>40</v>
      </c>
      <c r="AC78" s="14">
        <f>AVERAGE(Q78:AB78)</f>
        <v>24.333333333333332</v>
      </c>
    </row>
    <row r="79" spans="1:29" x14ac:dyDescent="0.25">
      <c r="A79" s="52">
        <v>2024</v>
      </c>
      <c r="B79" s="2">
        <v>52</v>
      </c>
      <c r="C79" s="2">
        <v>27</v>
      </c>
      <c r="D79" s="2">
        <v>23</v>
      </c>
      <c r="E79" s="2">
        <v>23</v>
      </c>
      <c r="F79" s="2">
        <v>24</v>
      </c>
      <c r="G79" s="2">
        <v>22</v>
      </c>
      <c r="H79" s="2">
        <v>22</v>
      </c>
      <c r="I79" s="2">
        <v>23</v>
      </c>
      <c r="J79" s="2">
        <v>24</v>
      </c>
      <c r="K79" s="2">
        <v>24</v>
      </c>
      <c r="L79" s="2">
        <v>27</v>
      </c>
      <c r="M79" s="2">
        <v>23</v>
      </c>
      <c r="N79" s="14">
        <f>AVERAGE(B79:M79)</f>
        <v>26.166666666666668</v>
      </c>
      <c r="P79" s="52">
        <v>2024</v>
      </c>
      <c r="Q79" s="2">
        <v>60</v>
      </c>
      <c r="R79" s="2">
        <v>21</v>
      </c>
      <c r="S79" s="2">
        <v>22</v>
      </c>
      <c r="T79" s="2">
        <v>23</v>
      </c>
      <c r="U79" s="2">
        <v>22</v>
      </c>
      <c r="V79" s="2">
        <v>20</v>
      </c>
      <c r="W79" s="2">
        <v>20</v>
      </c>
      <c r="X79" s="2">
        <v>21</v>
      </c>
      <c r="Y79" s="2">
        <v>21</v>
      </c>
      <c r="Z79" s="2">
        <v>22</v>
      </c>
      <c r="AA79" s="2">
        <v>20</v>
      </c>
      <c r="AB79" s="2">
        <v>18</v>
      </c>
      <c r="AC79" s="14">
        <f>AVERAGE(Q79:AB79)</f>
        <v>24.166666666666668</v>
      </c>
    </row>
    <row r="80" spans="1:29" x14ac:dyDescent="0.25">
      <c r="A80" s="52">
        <v>2025</v>
      </c>
      <c r="B80" s="2">
        <v>35</v>
      </c>
      <c r="C80" s="2">
        <v>28</v>
      </c>
      <c r="D80" s="2">
        <v>20</v>
      </c>
      <c r="E80" s="2">
        <v>22</v>
      </c>
      <c r="F80" s="2">
        <v>24</v>
      </c>
      <c r="G80" s="2">
        <v>23</v>
      </c>
      <c r="H80" s="2">
        <v>22</v>
      </c>
      <c r="I80" s="2">
        <v>24</v>
      </c>
      <c r="J80" s="2">
        <v>26</v>
      </c>
      <c r="K80" s="2">
        <v>25</v>
      </c>
      <c r="L80" s="2">
        <v>28</v>
      </c>
      <c r="M80" s="2">
        <v>25</v>
      </c>
      <c r="N80" s="14">
        <f>AVERAGE(B80:M80)</f>
        <v>25.166666666666668</v>
      </c>
      <c r="P80" s="52">
        <v>2025</v>
      </c>
      <c r="Q80" s="2">
        <v>28</v>
      </c>
      <c r="R80" s="2">
        <v>23</v>
      </c>
      <c r="S80" s="2">
        <v>23</v>
      </c>
      <c r="T80" s="2">
        <v>23</v>
      </c>
      <c r="U80" s="2">
        <v>23</v>
      </c>
      <c r="V80" s="2">
        <v>21</v>
      </c>
      <c r="W80" s="2">
        <v>19</v>
      </c>
      <c r="X80" s="2">
        <v>21</v>
      </c>
      <c r="Y80" s="2">
        <v>23</v>
      </c>
      <c r="Z80" s="2">
        <v>23</v>
      </c>
      <c r="AA80" s="2">
        <v>31</v>
      </c>
      <c r="AB80" s="2">
        <v>23</v>
      </c>
      <c r="AC80" s="14">
        <f>AVERAGE(Q80:AB80)</f>
        <v>23.416666666666668</v>
      </c>
    </row>
    <row r="84" spans="1:29" x14ac:dyDescent="0.25">
      <c r="A84" s="160" t="s">
        <v>30</v>
      </c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2"/>
      <c r="P84" s="160" t="s">
        <v>30</v>
      </c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2"/>
    </row>
    <row r="85" spans="1:29" x14ac:dyDescent="0.25">
      <c r="A85" s="51"/>
      <c r="B85" s="52" t="s">
        <v>1</v>
      </c>
      <c r="C85" s="52" t="s">
        <v>2</v>
      </c>
      <c r="D85" s="52" t="s">
        <v>3</v>
      </c>
      <c r="E85" s="52" t="s">
        <v>4</v>
      </c>
      <c r="F85" s="52" t="s">
        <v>5</v>
      </c>
      <c r="G85" s="52" t="s">
        <v>6</v>
      </c>
      <c r="H85" s="52" t="s">
        <v>7</v>
      </c>
      <c r="I85" s="52" t="s">
        <v>8</v>
      </c>
      <c r="J85" s="52" t="s">
        <v>9</v>
      </c>
      <c r="K85" s="52" t="s">
        <v>10</v>
      </c>
      <c r="L85" s="52" t="s">
        <v>11</v>
      </c>
      <c r="M85" s="52" t="s">
        <v>12</v>
      </c>
      <c r="N85" s="52" t="s">
        <v>28</v>
      </c>
      <c r="P85" s="51"/>
      <c r="Q85" s="52" t="s">
        <v>1</v>
      </c>
      <c r="R85" s="52" t="s">
        <v>2</v>
      </c>
      <c r="S85" s="52" t="s">
        <v>3</v>
      </c>
      <c r="T85" s="52" t="s">
        <v>4</v>
      </c>
      <c r="U85" s="52" t="s">
        <v>5</v>
      </c>
      <c r="V85" s="52" t="s">
        <v>6</v>
      </c>
      <c r="W85" s="52" t="s">
        <v>7</v>
      </c>
      <c r="X85" s="52" t="s">
        <v>8</v>
      </c>
      <c r="Y85" s="52" t="s">
        <v>9</v>
      </c>
      <c r="Z85" s="52" t="s">
        <v>10</v>
      </c>
      <c r="AA85" s="52" t="s">
        <v>11</v>
      </c>
      <c r="AB85" s="52" t="s">
        <v>12</v>
      </c>
      <c r="AC85" s="52" t="s">
        <v>28</v>
      </c>
    </row>
    <row r="86" spans="1:29" x14ac:dyDescent="0.25">
      <c r="A86" s="53" t="s">
        <v>23</v>
      </c>
      <c r="B86" s="59">
        <f>MAX(B19:B37,B40:B42,B57:B58,B65,B60:B63,B67:B69,B71:B74,B76:B80,B45,B50)</f>
        <v>79.619145651055078</v>
      </c>
      <c r="C86" s="59">
        <f>MAX(C19:C42,C44:C45,C50:C51,C54,C59:C80,C56:C57)</f>
        <v>78.410703425907158</v>
      </c>
      <c r="D86" s="59">
        <f>MAX(D19:D48,D50:D52,D55:D57,D59,D61:D62,D64:D80)</f>
        <v>72.225806451612897</v>
      </c>
      <c r="E86" s="59">
        <f>MAX(E19:E41,E44:E48,E52,E61:E68,E70,E72,E74:E80,E54:E56,E59)</f>
        <v>32.5</v>
      </c>
      <c r="F86" s="59">
        <f>MAX(F19:F42,F52,F54,F56,F59:F67,F44:F45,F48,F74:F80,F69:F72)</f>
        <v>26.548387096774199</v>
      </c>
      <c r="G86" s="59">
        <f>MAX(G19:G44,G64:G67,G59:G62,G51,G53,G56:G57,G48,G69:G75,G78:G80)</f>
        <v>32</v>
      </c>
      <c r="H86" s="59">
        <f>MAX(H19:H38,H40:H46,H55:H56,H64:H67,H51,H69:H80,H59:H62,H48)</f>
        <v>29.473540333052366</v>
      </c>
      <c r="I86" s="59">
        <f>MAX(I19:I42,I44,I46:I48,I51:I52,I55:I57,I59:I67,I69:I80)</f>
        <v>26.2258064516129</v>
      </c>
      <c r="J86" s="59">
        <f>MAX(J19:J42,J44:J49,J54,J57,J68:J80,J60:J66,J51)</f>
        <v>27.965459140690818</v>
      </c>
      <c r="K86" s="59">
        <f>MAX(K56:K57,K60:K62,K66,K44:K48,K50,K68:K80,K19:K42,)</f>
        <v>29.4838709677419</v>
      </c>
      <c r="L86" s="59">
        <f>MAX(L19:L37,L39:L42,L46:L47,L56:L57,L59:L62,L70:L73,L66,L75:L80,)</f>
        <v>50</v>
      </c>
      <c r="M86" s="59">
        <f>MAX(M19:M34,M47,M75,M44,M66:M67,M79:M80,M59:M64,M69:M73,M36,M38:M41)</f>
        <v>74</v>
      </c>
      <c r="N86" s="131">
        <f>MAX(N19,N21:N34,N40:N41,N61:N62,N79:N80,N36,N72)</f>
        <v>36.969451105546334</v>
      </c>
      <c r="P86" s="53" t="s">
        <v>23</v>
      </c>
      <c r="Q86" s="59">
        <f>MAX(Q37,Q39:Q43,Q46,Q50:Q52,Q55,Q58:Q67,Q69:Q74,Q76:Q80)</f>
        <v>83.8827509130453</v>
      </c>
      <c r="R86" s="59">
        <f>MAX(R37,R39:R44,R46:R47,R50:R52,R55:R80)</f>
        <v>81.620689655172399</v>
      </c>
      <c r="S86" s="59">
        <f>MAX(S37,S39:S46,S48,S51:S55,S57:S80)</f>
        <v>73.741935483871003</v>
      </c>
      <c r="T86" s="59">
        <f>MAX(T37,T39:T42,T45:T46,T48,T50,T52:T71,T73:T80)</f>
        <v>37.799999999999997</v>
      </c>
      <c r="U86" s="59">
        <f>MAX(U37,U39:U42,U44:U48,U50:U80)</f>
        <v>31.9677419354839</v>
      </c>
      <c r="V86" s="59">
        <f>MAX(V37,V39:V42,V46:V48,V50:V75,V78:V80)</f>
        <v>27.766666666666701</v>
      </c>
      <c r="W86" s="59">
        <f>MAX(W37:W42,W44,W46:W48,W50:W80)</f>
        <v>28</v>
      </c>
      <c r="X86" s="59">
        <f>MAX(X37:X44,X46,X48,X50:X80)</f>
        <v>28.677419354838701</v>
      </c>
      <c r="Y86" s="59">
        <f>MAX(Y37:Y44,Y46:Y48,Y50:Y65,Y67:Y71,Y73:Y80)</f>
        <v>29.2</v>
      </c>
      <c r="Z86" s="59">
        <f>MAX(Z37:Z44,Z46:Z70,Z72:Z76,Z78:Z80)</f>
        <v>27.612903225806399</v>
      </c>
      <c r="AA86" s="59">
        <f>MAX(AA37:AA40,AA42,AA44,AA46:AA48,AA53,AA56:AA64,AA66:AA80)</f>
        <v>50.6</v>
      </c>
      <c r="AB86" s="59">
        <f>MAX(AB38,AB40:AB41,AB44,AB48,AB50:AB51,AB53:AB54,AB56:AB60,AB62:AB80)</f>
        <v>74.612903225806505</v>
      </c>
      <c r="AC86" s="131">
        <f>MAX(AC40,AC57:AC60,AC62:AC64,AC67,AC69:AC70,AC73:AC74,AC78:AC80)</f>
        <v>35.527962983195671</v>
      </c>
    </row>
    <row r="87" spans="1:29" x14ac:dyDescent="0.25">
      <c r="P87" s="51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</row>
    <row r="88" spans="1:29" x14ac:dyDescent="0.25">
      <c r="A88" s="54" t="s">
        <v>24</v>
      </c>
      <c r="B88" s="60">
        <f>MIN(B19:B37,B57:B58,B71:B74,B40:B42,B67:B69,B60:B63,B65,B76:B80,B45,B50)</f>
        <v>22</v>
      </c>
      <c r="C88" s="60">
        <f>MIN(C19:C42,C44:C45,C50:C51,C54,C59:C80,C56:C57)</f>
        <v>19.551724137931</v>
      </c>
      <c r="D88" s="60">
        <f>MAX(D19:D48,D50:D52,D59,D55:D57,D61:D62,D64:D80)</f>
        <v>72.225806451612897</v>
      </c>
      <c r="E88" s="60">
        <f>MIN(E19:E41,E44:E48,E54:E56,E52,E61:E68,E70,E72,E74:E80,E59)</f>
        <v>16</v>
      </c>
      <c r="F88" s="60">
        <f>MIN(F19:F42,F52,F54,F56,F59:F67,F69:F72,F74:F80,F44:F45,F48)</f>
        <v>19</v>
      </c>
      <c r="G88" s="60">
        <f>MIN(G19:G44,G53,G48,G51,G56:G57,G64:G67,G69:G75,G78:G80,G59:G62)</f>
        <v>19</v>
      </c>
      <c r="H88" s="60">
        <f>MIN(H19:H38,H40:H46,H59:H62,H51,H55:H56,H48,H69:H80,H64:H67)</f>
        <v>17</v>
      </c>
      <c r="I88" s="60">
        <f>MIN(I19:I42,I44,I46:I48,I55:I57,I51:I52,I59:I67,I69:I80)</f>
        <v>17.4753249281626</v>
      </c>
      <c r="J88" s="60">
        <f>MIN(J19:J42,J44:J49,J54,J57,J60:J66,J68:J80,J51,)</f>
        <v>0</v>
      </c>
      <c r="K88" s="60">
        <f>MIN(K44:K48,K56:K57,K60:K62,K66,K50,K68:K80,K19:K42)</f>
        <v>18</v>
      </c>
      <c r="L88" s="60">
        <f>MIN(L19:L37,L56:L57,L59:L62,L66,L70:L73,L75:L80,L46:L47,L39:L42)</f>
        <v>17.933333333333302</v>
      </c>
      <c r="M88" s="60">
        <f>MIN(M19:M34,M69:M73,M47,M44,M38:M41,M79:M80,M59:M64,M75,M36,M66:M67)</f>
        <v>16.348089442242301</v>
      </c>
      <c r="N88" s="131">
        <f>MIN(N19,N21:N34,N72,N61:N62,N79:N80,N40:N41,N36)</f>
        <v>21.75</v>
      </c>
      <c r="P88" s="54" t="s">
        <v>24</v>
      </c>
      <c r="Q88" s="60">
        <f>MIN(Q37,Q39:Q43,Q46,Q50:Q52,Q55,Q58:Q67,Q69:Q74,Q76:Q80)</f>
        <v>28</v>
      </c>
      <c r="R88" s="60">
        <f>MIN(R37,R39:R44,R46:R47,R50:R52,R55:R80)</f>
        <v>17.482758620689701</v>
      </c>
      <c r="S88" s="60">
        <f>MIN(S37,S39:S46,S48,S51:S55,S57:S80)</f>
        <v>17.870967741935502</v>
      </c>
      <c r="T88" s="60">
        <f>MIN(T37,T39:T42,T45:T46,T48,T50,T52:T71,T73:T80)</f>
        <v>17.766666666666701</v>
      </c>
      <c r="U88" s="60">
        <f>MIN(U37,U39:U42,U44:U48,U50:U80)</f>
        <v>19.806451612903199</v>
      </c>
      <c r="V88" s="60">
        <f>MIN(V37,V39:V42,V46:V48,V50:V75,V78:V80)</f>
        <v>18.399999999999999</v>
      </c>
      <c r="W88" s="60">
        <f>MIN(W37:W42,W44,W46:W48,W50:W80)</f>
        <v>17.838709677419399</v>
      </c>
      <c r="X88" s="60">
        <f>MIN(X37:X44,X46,X48,X50:X80)</f>
        <v>18.612903225806502</v>
      </c>
      <c r="Y88" s="60">
        <f>MIN(Y37:Y44,Y46:Y48,Y50:Y65,Y67:Y71,Y73:Y80)</f>
        <v>19.266666666666701</v>
      </c>
      <c r="Z88" s="60">
        <f>MIN(Z37:Z44,Z46:Z70,Z72:Z76,Z78:Z80)</f>
        <v>16.870967741935502</v>
      </c>
      <c r="AA88" s="60">
        <f>MIN(AA37:AA40,AA42,AA44,AA46:AA48,AA53,AA56:AA64,AA66:AA80)</f>
        <v>16.733333333333299</v>
      </c>
      <c r="AB88" s="60">
        <f>MIN(AB38,AB40:AB41,AB44,AB48,AB50:AB51,AB53:AB54,AB56:AB60,AB62:AB80)</f>
        <v>15.548387096774199</v>
      </c>
      <c r="AC88" s="131">
        <f>MIN(AC40,AC67,AC57:AC60,AC62:AC64,AC69:AC70,AC73:AC74,AC78:AC80)</f>
        <v>22.810635273760969</v>
      </c>
    </row>
  </sheetData>
  <mergeCells count="3">
    <mergeCell ref="A84:N84"/>
    <mergeCell ref="P84:AC84"/>
    <mergeCell ref="B9:J9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</vt:lpstr>
      <vt:lpstr>S`</vt:lpstr>
      <vt:lpstr>D</vt:lpstr>
      <vt:lpstr>Q</vt:lpstr>
      <vt:lpstr>Rt</vt:lpstr>
      <vt:lpstr>B</vt:lpstr>
      <vt:lpstr>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Giliūtė</dc:creator>
  <cp:lastModifiedBy>Gintarė Giliūtė</cp:lastModifiedBy>
  <dcterms:created xsi:type="dcterms:W3CDTF">2015-06-05T18:17:20Z</dcterms:created>
  <dcterms:modified xsi:type="dcterms:W3CDTF">2026-01-13T14:26:25Z</dcterms:modified>
</cp:coreProperties>
</file>